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andrescubillos/Desktop/Todo Top Inversiones/Página web/"/>
    </mc:Choice>
  </mc:AlternateContent>
  <xr:revisionPtr revIDLastSave="0" documentId="8_{72029042-14CD-294B-A935-0042E1474016}" xr6:coauthVersionLast="47" xr6:coauthVersionMax="47" xr10:uidLastSave="{00000000-0000-0000-0000-000000000000}"/>
  <bookViews>
    <workbookView xWindow="0" yWindow="600" windowWidth="28800" windowHeight="17400" activeTab="1" xr2:uid="{00000000-000D-0000-FFFF-FFFF00000000}"/>
  </bookViews>
  <sheets>
    <sheet name="🏠 Portada" sheetId="1" r:id="rId1"/>
    <sheet name="📊 Supuestos" sheetId="2" r:id="rId2"/>
    <sheet name="💰 Flujo Mensual" sheetId="3" r:id="rId3"/>
    <sheet name="📈 Proyección 10 Años" sheetId="4" r:id="rId4"/>
    <sheet name="🗺️ Comunas Santiago" sheetId="5" r:id="rId5"/>
    <sheet name="📋 Resumen Ejecutiv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D9" i="6" s="1"/>
  <c r="C5" i="6"/>
  <c r="D5" i="6" s="1"/>
  <c r="C10" i="4"/>
  <c r="C14" i="4" s="1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C6" i="4"/>
  <c r="D6" i="4" s="1"/>
  <c r="B16" i="3"/>
  <c r="N15" i="3"/>
  <c r="M15" i="3"/>
  <c r="L15" i="3"/>
  <c r="K15" i="3"/>
  <c r="J15" i="3"/>
  <c r="I15" i="3"/>
  <c r="H15" i="3"/>
  <c r="G15" i="3"/>
  <c r="F15" i="3"/>
  <c r="E15" i="3"/>
  <c r="D15" i="3"/>
  <c r="C15" i="3"/>
  <c r="O15" i="3" s="1"/>
  <c r="N14" i="3"/>
  <c r="M14" i="3"/>
  <c r="L14" i="3"/>
  <c r="K14" i="3"/>
  <c r="J14" i="3"/>
  <c r="I14" i="3"/>
  <c r="H14" i="3"/>
  <c r="G14" i="3"/>
  <c r="F14" i="3"/>
  <c r="E14" i="3"/>
  <c r="D14" i="3"/>
  <c r="C14" i="3"/>
  <c r="O14" i="3" s="1"/>
  <c r="N13" i="3"/>
  <c r="M13" i="3"/>
  <c r="L13" i="3"/>
  <c r="K13" i="3"/>
  <c r="J13" i="3"/>
  <c r="I13" i="3"/>
  <c r="H13" i="3"/>
  <c r="G13" i="3"/>
  <c r="F13" i="3"/>
  <c r="E13" i="3"/>
  <c r="D13" i="3"/>
  <c r="C13" i="3"/>
  <c r="O13" i="3" s="1"/>
  <c r="N12" i="3"/>
  <c r="M12" i="3"/>
  <c r="L12" i="3"/>
  <c r="K12" i="3"/>
  <c r="J12" i="3"/>
  <c r="I12" i="3"/>
  <c r="H12" i="3"/>
  <c r="G12" i="3"/>
  <c r="F12" i="3"/>
  <c r="E12" i="3"/>
  <c r="D12" i="3"/>
  <c r="C12" i="3"/>
  <c r="O12" i="3" s="1"/>
  <c r="N11" i="3"/>
  <c r="M11" i="3"/>
  <c r="L11" i="3"/>
  <c r="K11" i="3"/>
  <c r="J11" i="3"/>
  <c r="I11" i="3"/>
  <c r="H11" i="3"/>
  <c r="G11" i="3"/>
  <c r="F11" i="3"/>
  <c r="E11" i="3"/>
  <c r="D11" i="3"/>
  <c r="C11" i="3"/>
  <c r="O11" i="3" s="1"/>
  <c r="M8" i="3"/>
  <c r="L8" i="3"/>
  <c r="I8" i="3"/>
  <c r="E8" i="3"/>
  <c r="D8" i="3"/>
  <c r="B8" i="3"/>
  <c r="N7" i="3"/>
  <c r="N8" i="3" s="1"/>
  <c r="M7" i="3"/>
  <c r="L7" i="3"/>
  <c r="K7" i="3"/>
  <c r="J7" i="3"/>
  <c r="J8" i="3" s="1"/>
  <c r="I7" i="3"/>
  <c r="H7" i="3"/>
  <c r="G7" i="3"/>
  <c r="F7" i="3"/>
  <c r="F8" i="3" s="1"/>
  <c r="E7" i="3"/>
  <c r="D7" i="3"/>
  <c r="C7" i="3"/>
  <c r="O7" i="3" s="1"/>
  <c r="N6" i="3"/>
  <c r="M6" i="3"/>
  <c r="L6" i="3"/>
  <c r="K6" i="3"/>
  <c r="K8" i="3" s="1"/>
  <c r="J6" i="3"/>
  <c r="I6" i="3"/>
  <c r="H6" i="3"/>
  <c r="H8" i="3" s="1"/>
  <c r="G6" i="3"/>
  <c r="O6" i="3" s="1"/>
  <c r="F6" i="3"/>
  <c r="E6" i="3"/>
  <c r="D6" i="3"/>
  <c r="C6" i="3"/>
  <c r="C8" i="3" s="1"/>
  <c r="C43" i="2"/>
  <c r="C42" i="2"/>
  <c r="C8" i="6" s="1"/>
  <c r="D8" i="6" s="1"/>
  <c r="C40" i="2"/>
  <c r="C41" i="2" s="1"/>
  <c r="C39" i="2"/>
  <c r="E6" i="4" l="1"/>
  <c r="D8" i="4"/>
  <c r="D16" i="4" s="1"/>
  <c r="D15" i="4"/>
  <c r="O8" i="3"/>
  <c r="K17" i="3"/>
  <c r="E17" i="3"/>
  <c r="I17" i="3"/>
  <c r="N10" i="3"/>
  <c r="N16" i="3" s="1"/>
  <c r="F10" i="3"/>
  <c r="F16" i="3" s="1"/>
  <c r="M10" i="3"/>
  <c r="M16" i="3" s="1"/>
  <c r="M17" i="3" s="1"/>
  <c r="E10" i="3"/>
  <c r="E16" i="3" s="1"/>
  <c r="D10" i="3"/>
  <c r="D16" i="3" s="1"/>
  <c r="D17" i="3" s="1"/>
  <c r="K10" i="3"/>
  <c r="K16" i="3" s="1"/>
  <c r="C10" i="3"/>
  <c r="L10" i="3"/>
  <c r="L16" i="3" s="1"/>
  <c r="L17" i="3" s="1"/>
  <c r="G10" i="3"/>
  <c r="G16" i="3" s="1"/>
  <c r="J10" i="3"/>
  <c r="J16" i="3" s="1"/>
  <c r="J17" i="3" s="1"/>
  <c r="C45" i="2"/>
  <c r="C7" i="6" s="1"/>
  <c r="D7" i="6" s="1"/>
  <c r="H10" i="3"/>
  <c r="H16" i="3" s="1"/>
  <c r="I10" i="3"/>
  <c r="I16" i="3" s="1"/>
  <c r="C44" i="2"/>
  <c r="C6" i="6" s="1"/>
  <c r="D6" i="6" s="1"/>
  <c r="C11" i="4"/>
  <c r="H17" i="3"/>
  <c r="F17" i="3"/>
  <c r="N17" i="3"/>
  <c r="C15" i="4"/>
  <c r="G8" i="3"/>
  <c r="C8" i="4"/>
  <c r="C16" i="4" s="1"/>
  <c r="C12" i="4"/>
  <c r="D10" i="4"/>
  <c r="D14" i="4" l="1"/>
  <c r="E10" i="4"/>
  <c r="O10" i="3"/>
  <c r="C16" i="3"/>
  <c r="M11" i="4"/>
  <c r="D11" i="4"/>
  <c r="E11" i="4" s="1"/>
  <c r="F11" i="4" s="1"/>
  <c r="G11" i="4" s="1"/>
  <c r="H11" i="4" s="1"/>
  <c r="I11" i="4" s="1"/>
  <c r="J11" i="4" s="1"/>
  <c r="K11" i="4" s="1"/>
  <c r="L11" i="4" s="1"/>
  <c r="E8" i="4"/>
  <c r="E16" i="4" s="1"/>
  <c r="E15" i="4"/>
  <c r="F6" i="4"/>
  <c r="G17" i="3"/>
  <c r="F8" i="4" l="1"/>
  <c r="F16" i="4" s="1"/>
  <c r="F15" i="4"/>
  <c r="G6" i="4"/>
  <c r="E12" i="4"/>
  <c r="E14" i="4"/>
  <c r="F10" i="4"/>
  <c r="D12" i="4"/>
  <c r="O16" i="3"/>
  <c r="C17" i="3"/>
  <c r="O17" i="3" s="1"/>
  <c r="G8" i="4" l="1"/>
  <c r="G15" i="4"/>
  <c r="H6" i="4"/>
  <c r="F12" i="4"/>
  <c r="F14" i="4"/>
  <c r="G10" i="4"/>
  <c r="G14" i="4" l="1"/>
  <c r="H10" i="4"/>
  <c r="G12" i="4"/>
  <c r="H15" i="4"/>
  <c r="I6" i="4"/>
  <c r="H8" i="4"/>
  <c r="H16" i="4" s="1"/>
  <c r="C12" i="6"/>
  <c r="D12" i="6" s="1"/>
  <c r="G16" i="4"/>
  <c r="I15" i="4" l="1"/>
  <c r="J6" i="4"/>
  <c r="I8" i="4"/>
  <c r="I16" i="4" s="1"/>
  <c r="H14" i="4"/>
  <c r="I10" i="4"/>
  <c r="H12" i="4"/>
  <c r="I14" i="4" l="1"/>
  <c r="J10" i="4"/>
  <c r="I12" i="4"/>
  <c r="K6" i="4"/>
  <c r="J8" i="4"/>
  <c r="J16" i="4" s="1"/>
  <c r="J15" i="4"/>
  <c r="L6" i="4" l="1"/>
  <c r="K8" i="4"/>
  <c r="K16" i="4" s="1"/>
  <c r="K15" i="4"/>
  <c r="J14" i="4"/>
  <c r="K10" i="4"/>
  <c r="J12" i="4"/>
  <c r="K14" i="4" l="1"/>
  <c r="L10" i="4"/>
  <c r="K12" i="4"/>
  <c r="M6" i="4"/>
  <c r="L8" i="4"/>
  <c r="L15" i="4"/>
  <c r="M15" i="4" s="1"/>
  <c r="L16" i="4" l="1"/>
  <c r="M8" i="4"/>
  <c r="C13" i="6"/>
  <c r="D13" i="6" s="1"/>
  <c r="L12" i="4"/>
  <c r="M12" i="4" s="1"/>
  <c r="L14" i="4"/>
  <c r="M14" i="4" s="1"/>
  <c r="M10" i="4"/>
  <c r="B17" i="6" l="1"/>
  <c r="M16" i="4"/>
  <c r="C14" i="6"/>
  <c r="D14" i="6" s="1"/>
</calcChain>
</file>

<file path=xl/sharedStrings.xml><?xml version="1.0" encoding="utf-8"?>
<sst xmlns="http://schemas.openxmlformats.org/spreadsheetml/2006/main" count="253" uniqueCount="205">
  <si>
    <t>CALCULADORA DE RENTABILIDAD INMOBILIARIA</t>
  </si>
  <si>
    <t>Top Inversiones · Chile · topinversiones.cl</t>
  </si>
  <si>
    <t>Versión 2025 — Modelo completo: flujo mensual, proyección 10 años, comparativa de comunas</t>
  </si>
  <si>
    <t>CONTENIDO DEL MODELO</t>
  </si>
  <si>
    <t xml:space="preserve">  📊 Supuestos</t>
  </si>
  <si>
    <t>Ingresa todos los datos de tu propiedad aquí</t>
  </si>
  <si>
    <t xml:space="preserve">  💰 Flujo Mensual</t>
  </si>
  <si>
    <t>Ingresos, gastos y flujo neto mes a mes</t>
  </si>
  <si>
    <t xml:space="preserve">  📈 Proyección 10 Años</t>
  </si>
  <si>
    <t>Patrimonio acumulado, plusvalía y rentabilidad total</t>
  </si>
  <si>
    <t xml:space="preserve">  🗺️ Comunas Santiago</t>
  </si>
  <si>
    <t>Comparativa de rentabilidad por comuna (datos 2025)</t>
  </si>
  <si>
    <t xml:space="preserve">  📋 Resumen Ejecutivo</t>
  </si>
  <si>
    <t>Semáforo rápido: ¿conviene o no esta propiedad?</t>
  </si>
  <si>
    <t>🔵 Azul = ingreso que puedes modificar   ⚫ Negro = fórmula (no modificar)   🟢 Verde = vínculo entre hojas</t>
  </si>
  <si>
    <t>📊 SUPUESTOS DE LA INVERSIÓN</t>
  </si>
  <si>
    <t>A — DATOS DE LA PROPIEDAD</t>
  </si>
  <si>
    <t>Precio de compra (CLP)</t>
  </si>
  <si>
    <t>Ref: Macul 1D1B promedio — Toctoc/Urbani mayo 2025 (~3.868 UF)</t>
  </si>
  <si>
    <t>Porcentaje de pie (%)</t>
  </si>
  <si>
    <t>Mínimo 20% exigido por el banco</t>
  </si>
  <si>
    <t>Gastos de escritura y legales (CLP)</t>
  </si>
  <si>
    <t>Aprox. 1.5% del precio</t>
  </si>
  <si>
    <t>Gastos de tasación y notaría (CLP)</t>
  </si>
  <si>
    <t>Estimado promedio</t>
  </si>
  <si>
    <t>Remodelación o habilitación (CLP)</t>
  </si>
  <si>
    <t>Dejar en 0 si entrega inmediata</t>
  </si>
  <si>
    <t>Superficie útil (m²)</t>
  </si>
  <si>
    <t>Para calcular precio/m²</t>
  </si>
  <si>
    <t>B — CRÉDITO HIPOTECARIO</t>
  </si>
  <si>
    <t>Tasa anual del crédito (%)</t>
  </si>
  <si>
    <t>Tasa hipotecaria promedio mercado Chile mayo 2025</t>
  </si>
  <si>
    <t>Plazo del crédito (años)</t>
  </si>
  <si>
    <t>Típicamente 20 a 30 años</t>
  </si>
  <si>
    <t>Tasa UF anual esperada (%)</t>
  </si>
  <si>
    <t>Reajuste histórico UF Chile</t>
  </si>
  <si>
    <t>C — INGRESOS POR ARRIENDO</t>
  </si>
  <si>
    <t>Arriendo mensual inicial (CLP)</t>
  </si>
  <si>
    <t>Ref: arriendo 1D1B Macul — mercado libre 2025</t>
  </si>
  <si>
    <t>Vacancia esperada (% del año)</t>
  </si>
  <si>
    <t>5% = ~18 días sin arrendar al año</t>
  </si>
  <si>
    <t>Reajuste anual del arriendo (%)</t>
  </si>
  <si>
    <t>Normalmente IPC o UF</t>
  </si>
  <si>
    <t>D — GASTOS MENSUALES</t>
  </si>
  <si>
    <t>Gastos comunes mensuales (CLP)</t>
  </si>
  <si>
    <t>Varía según edificio</t>
  </si>
  <si>
    <t>Contribuciones mensuales (CLP)</t>
  </si>
  <si>
    <t>DFL2 puede eximir — consultar</t>
  </si>
  <si>
    <t>Mantención anual estimada (%)</t>
  </si>
  <si>
    <t>0.5% del valor de compra</t>
  </si>
  <si>
    <t>Seguro de desgravamen mensual (CLP)</t>
  </si>
  <si>
    <t>Estimado según banco</t>
  </si>
  <si>
    <t>Administración por corredora (CLP)</t>
  </si>
  <si>
    <t>Dejar en 0 si administras tú</t>
  </si>
  <si>
    <t>E — PLUSVALÍA Y PROYECCIÓN</t>
  </si>
  <si>
    <t>Apreciación anual esperada (%)</t>
  </si>
  <si>
    <t>Histórico conservador: 3–5% anual</t>
  </si>
  <si>
    <t>Año de análisis</t>
  </si>
  <si>
    <t>Año de compra</t>
  </si>
  <si>
    <t>F — TU PERFIL</t>
  </si>
  <si>
    <t>Ingreso líquido mensual (CLP)</t>
  </si>
  <si>
    <t>Tu sueldo líquido</t>
  </si>
  <si>
    <t>Otras deudas mensuales (CLP)</t>
  </si>
  <si>
    <t>Cuotas crédito auto, consumo, etc.</t>
  </si>
  <si>
    <t>RESUMEN AUTOMÁTICO (no modificar)</t>
  </si>
  <si>
    <t>Inversión total (pie + gastos)</t>
  </si>
  <si>
    <t>Monto a financiar</t>
  </si>
  <si>
    <t>Dividendo mensual estimado</t>
  </si>
  <si>
    <t>Precio por m²</t>
  </si>
  <si>
    <t>Rentabilidad bruta anual</t>
  </si>
  <si>
    <t>Flujo neto mensual (arriendo − dividendo − gastos)</t>
  </si>
  <si>
    <t>Carga hipotecaria sobre ingreso</t>
  </si>
  <si>
    <t>💰 FLUJO MENSUAL — AÑO 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</si>
  <si>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</si>
  <si>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</si>
  <si>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</si>
  <si>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</si>
  <si>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</si>
  <si>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</si>
  <si>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</si>
  <si>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</si>
  <si>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</si>
  <si>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</si>
  <si>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</si>
  <si>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</si>
  <si>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</si>
  <si>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AÑO</t>
  </si>
  <si>
    <t>INGRESOS</t>
  </si>
  <si>
    <t>Arriendo bruto</t>
  </si>
  <si>
    <t>(-) Vacancia estimada</t>
  </si>
  <si>
    <t>GASTOS FIJOS</t>
  </si>
  <si>
    <t>Dividendo hipotecario</t>
  </si>
  <si>
    <t>Gastos comunes</t>
  </si>
  <si>
    <t>Contribuciones</t>
  </si>
  <si>
    <t>Seguro desgravamen</t>
  </si>
  <si>
    <t>Administración</t>
  </si>
  <si>
    <t>Mantención (prorrat.)</t>
  </si>
  <si>
    <t>FLUJO NETO MENSUAL</t>
  </si>
  <si>
    <t>📈 PROYECCIÓN A 10 AÑOS — CONSTRUCCIÓN DE PATRIMONIO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</si>
  <si>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</si>
  <si>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</si>
  <si>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</si>
  <si>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</si>
  <si>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</si>
  <si>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</si>
  <si>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</si>
  <si>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</si>
  <si>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</si>
  <si>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</si>
  <si>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TOTAL / FINAL</t>
  </si>
  <si>
    <t>VALOR Y DEUDA</t>
  </si>
  <si>
    <t>Valor de mercado (CLP)</t>
  </si>
  <si>
    <t>Deuda hipotecaria restante</t>
  </si>
  <si>
    <t>Patrimonio neto (valor − deuda)</t>
  </si>
  <si>
    <t>FLUJO ANUAL</t>
  </si>
  <si>
    <t>Ingresos por arriendo (anual)</t>
  </si>
  <si>
    <t>Gastos totales (anual)</t>
  </si>
  <si>
    <t>Flujo neto anual</t>
  </si>
  <si>
    <t>INDICADORES CLAVE</t>
  </si>
  <si>
    <t>Rentabilidad bruta anual (%)</t>
  </si>
  <si>
    <t>Ganancia de capital acumulada</t>
  </si>
  <si>
    <t>ROI total acumulado (%)</t>
  </si>
  <si>
    <t>🗺️ COMPARATIVA DE RENTABILIDAD POR COMUNA — SANTIAGO 2025</t>
  </si>
  <si>
    <t>Precios en UF reales 2025 (fuentes: Toctoc, Urbani, BDO Chile, Assetplan, DF Multifamily). UF referencia: $39,082. Rentabilidad bruta = arriendo mensual x12 / (precio UF x valor UF). Tipología referencia: departamento 1D+1B, 40–55m². Datos actualizados mayo 2026.</t>
  </si>
  <si>
    <t>Comuna</t>
  </si>
  <si>
    <t>Precio ref.
40–50m² (CLP)</t>
  </si>
  <si>
    <t>Arriendo ref.
Mensual (CLP)</t>
  </si>
  <si>
    <t>Rent. Bruta
Anual (%)</t>
  </si>
  <si>
    <t>Demanda
Arriendo</t>
  </si>
  <si>
    <t>Perfil
Arrendatario</t>
  </si>
  <si>
    <t>Plusvalía
Proyectada</t>
  </si>
  <si>
    <t>Recomendación</t>
  </si>
  <si>
    <t>Ñuñoa</t>
  </si>
  <si>
    <t>4,200 UF
($164M)</t>
  </si>
  <si>
    <t>3.1%</t>
  </si>
  <si>
    <t>Muy Alta</t>
  </si>
  <si>
    <t>Jóvenes prof./parejas</t>
  </si>
  <si>
    <t>Alta</t>
  </si>
  <si>
    <t>⭐⭐⭐⭐</t>
  </si>
  <si>
    <t>Macul</t>
  </si>
  <si>
    <t>3,868 UF
($151M)</t>
  </si>
  <si>
    <t>2.6%</t>
  </si>
  <si>
    <t>Familias/Profesionales</t>
  </si>
  <si>
    <t>Media</t>
  </si>
  <si>
    <t>San Miguel</t>
  </si>
  <si>
    <t>3,500 UF
($137M)</t>
  </si>
  <si>
    <t>2.9%</t>
  </si>
  <si>
    <t>Profesionales jóvenes</t>
  </si>
  <si>
    <t>Media-Alta</t>
  </si>
  <si>
    <t>Independencia</t>
  </si>
  <si>
    <t>3,300 UF
($129M)</t>
  </si>
  <si>
    <t>Universitarios/Profesionales</t>
  </si>
  <si>
    <t>Santiago Centro</t>
  </si>
  <si>
    <t>3,100 UF
($121M)</t>
  </si>
  <si>
    <t>3.7%</t>
  </si>
  <si>
    <t>Estudiantes/Jóvenes prof.</t>
  </si>
  <si>
    <t>Estación Central</t>
  </si>
  <si>
    <t>2,900 UF
($113M)</t>
  </si>
  <si>
    <t>3.0%</t>
  </si>
  <si>
    <t>Trabajadores/Estudiantes</t>
  </si>
  <si>
    <t>⭐⭐⭐</t>
  </si>
  <si>
    <t>La Florida</t>
  </si>
  <si>
    <t>3,739 UF
($146M)</t>
  </si>
  <si>
    <t>Familias clase media</t>
  </si>
  <si>
    <t>Quinta Normal</t>
  </si>
  <si>
    <t>2,800 UF
($109M)</t>
  </si>
  <si>
    <t>3.2%</t>
  </si>
  <si>
    <t>Trabajadores/Familias</t>
  </si>
  <si>
    <t>Providencia</t>
  </si>
  <si>
    <t>7,500 UF
($293M)</t>
  </si>
  <si>
    <t>2.7%</t>
  </si>
  <si>
    <t>Ejecutivos/Extranjeros</t>
  </si>
  <si>
    <t>Las Condes</t>
  </si>
  <si>
    <t>11,000 UF
($430M)</t>
  </si>
  <si>
    <t>2.4%</t>
  </si>
  <si>
    <t>Ejecutivos/Familias AA</t>
  </si>
  <si>
    <t>⭐⭐</t>
  </si>
  <si>
    <t>Recoleta</t>
  </si>
  <si>
    <t>3,131 UF
($122M)</t>
  </si>
  <si>
    <t>Jóvenes/Creativos</t>
  </si>
  <si>
    <t>La Cisterna</t>
  </si>
  <si>
    <t>3,200 UF
($125M)</t>
  </si>
  <si>
    <t>2.8%</t>
  </si>
  <si>
    <t>Familias/Trabajadores</t>
  </si>
  <si>
    <t>Maipú</t>
  </si>
  <si>
    <t>Pudahuel</t>
  </si>
  <si>
    <t>2,600 UF
($102M)</t>
  </si>
  <si>
    <t>Media-Baja</t>
  </si>
  <si>
    <t>San Bernardo</t>
  </si>
  <si>
    <t>2,400 UF
($94M)</t>
  </si>
  <si>
    <t>Familias clase media-baja</t>
  </si>
  <si>
    <t>Baja</t>
  </si>
  <si>
    <t>Fuente: estimaciones Top Inversiones basadas en datos Portal Inmobiliario, Toctoc y análisis de mercado 2025. Actualizar según condiciones vigentes.</t>
  </si>
  <si>
    <t>Fuentes: Toctoc (blog.toctoc.com), Urbani.cl, BDO Chile / El Dinamo ago-2025, Assetplan / 24horas mayo-2026, DF Multifamily mayo-2026, Homierent 2025. UF referencia: $39.082 (mayo 2025). Precios = promedio mercado usado+nuevo 1D+1B. Actualizar según condiciones vigentes en cada operación.</t>
  </si>
  <si>
    <t>📋 RESUMEN EJECUTIVO — ¿CONVIENE ESTA PROPIEDAD?</t>
  </si>
  <si>
    <t>Flujo neto mensual (CLP)</t>
  </si>
  <si>
    <t>Carga hipotecaria / ingreso</t>
  </si>
  <si>
    <t>Precio por m² (CLP/m²)</t>
  </si>
  <si>
    <t>Inversión total requerida (CLP)</t>
  </si>
  <si>
    <t>PROYECCIÓN PATRIMONIAL</t>
  </si>
  <si>
    <t>Patrimonio neto año 5 (CLP)</t>
  </si>
  <si>
    <t>Patrimonio neto año 10 (CLP)</t>
  </si>
  <si>
    <t>ROI acumulado año 10</t>
  </si>
  <si>
    <t>VEREDICTO FINAL</t>
  </si>
  <si>
    <t>🔵 Azul = dato modificable en hoja Supuestos   ⚫ Negro = fórmula automática   🟢🟡🔴 = semáforo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</si>
</sst>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\(\$#,##0\);\-"/>
    <numFmt numFmtId="165" formatCode="0.0%"/>
    <numFmt numFmtId="166" formatCode="0.0\ &quot;m²&quot;"/>
    <numFmt numFmtId="167" formatCode="0\ &quot;años&quot;"/>
    <numFmt numFmtId="168" formatCode="\$#,##0"/>
  </numFmts>
  <fonts count="27" x14ac:knownFonts="1">
    <font>
      <sz val="11"/>
      <color theme="1"/>
      <name val="Calibri"/>
      <family val="2"/>
      <scheme val="minor"/>
    </font>
    <font>
      <b/>
      <sz val="22"/>
      <color rgb="FFFFFFFF"/>
      <name val="Arial"/>
      <family val="2"/>
    </font>
    <font>
      <i/>
      <sz val="12"/>
      <color rgb="FF6EBBDE"/>
      <name val="Arial"/>
      <family val="2"/>
    </font>
    <font>
      <sz val="10"/>
      <color rgb="FFADADAD"/>
      <name val="Arial"/>
      <family val="2"/>
    </font>
    <font>
      <b/>
      <sz val="11"/>
      <color rgb="FFFFFFFF"/>
      <name val="Arial"/>
      <family val="2"/>
    </font>
    <font>
      <b/>
      <sz val="10"/>
      <color rgb="FF0B4376"/>
      <name val="Arial"/>
      <family val="2"/>
    </font>
    <font>
      <sz val="10"/>
      <color rgb="FF3B3B3B"/>
      <name val="Arial"/>
      <family val="2"/>
    </font>
    <font>
      <i/>
      <sz val="9"/>
      <color rgb="FF3B3B3B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0000FF"/>
      <name val="Arial"/>
      <family val="2"/>
    </font>
    <font>
      <i/>
      <sz val="9"/>
      <color rgb="FFADADAD"/>
      <name val="Arial"/>
      <family val="2"/>
    </font>
    <font>
      <b/>
      <sz val="10"/>
      <color rgb="FF3B3B3B"/>
      <name val="Arial"/>
      <family val="2"/>
    </font>
    <font>
      <sz val="10"/>
      <color rgb="FF000000"/>
      <name val="Arial"/>
      <family val="2"/>
    </font>
    <font>
      <b/>
      <sz val="13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B4376"/>
      <name val="Arial"/>
      <family val="2"/>
    </font>
    <font>
      <sz val="10"/>
      <color rgb="FF00AA00"/>
      <name val="Arial"/>
      <family val="2"/>
    </font>
    <font>
      <sz val="10"/>
      <name val="Arial"/>
      <family val="2"/>
    </font>
    <font>
      <b/>
      <sz val="10"/>
      <color rgb="FF006600"/>
      <name val="Arial"/>
      <family val="2"/>
    </font>
    <font>
      <b/>
      <sz val="11"/>
      <name val="Arial"/>
      <family val="2"/>
    </font>
    <font>
      <b/>
      <sz val="14"/>
      <color rgb="FF0B4376"/>
      <name val="Arial"/>
      <family val="2"/>
    </font>
    <font>
      <i/>
      <sz val="9"/>
      <color rgb="FF5A6A7A"/>
      <name val="Arial"/>
      <family val="2"/>
    </font>
    <font>
      <b/>
      <sz val="9"/>
      <color rgb="FF0B4376"/>
      <name val="Arial"/>
      <family val="2"/>
    </font>
    <font>
      <i/>
      <sz val="8"/>
      <color rgb="FF7A7A7A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B4376"/>
      </patternFill>
    </fill>
    <fill>
      <patternFill patternType="solid">
        <fgColor rgb="FF3874B2"/>
      </patternFill>
    </fill>
    <fill>
      <patternFill patternType="solid">
        <fgColor rgb="FFEBF3FA"/>
      </patternFill>
    </fill>
    <fill>
      <patternFill patternType="solid">
        <fgColor rgb="FFFFFFF8"/>
      </patternFill>
    </fill>
    <fill>
      <patternFill patternType="solid">
        <fgColor rgb="FFFFF9E6"/>
      </patternFill>
    </fill>
    <fill>
      <patternFill patternType="solid">
        <fgColor rgb="FFF0F4F9"/>
      </patternFill>
    </fill>
    <fill>
      <patternFill patternType="solid">
        <fgColor rgb="FFFFF2CC"/>
      </patternFill>
    </fill>
    <fill>
      <patternFill patternType="solid">
        <fgColor rgb="FF5A5A5A"/>
      </patternFill>
    </fill>
    <fill>
      <patternFill patternType="solid">
        <fgColor rgb="FFF7F7F7"/>
      </patternFill>
    </fill>
    <fill>
      <patternFill patternType="solid">
        <fgColor rgb="FFFAFAFA"/>
      </patternFill>
    </fill>
    <fill>
      <patternFill patternType="solid">
        <fgColor rgb="FFFFF0F0"/>
      </patternFill>
    </fill>
    <fill>
      <patternFill patternType="solid">
        <fgColor rgb="FFF0F4FF"/>
      </patternFill>
    </fill>
    <fill>
      <patternFill patternType="solid">
        <fgColor rgb="FFF0FFF0"/>
      </patternFill>
    </fill>
    <fill>
      <patternFill patternType="solid">
        <fgColor rgb="FFF0FAF0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3874B2"/>
      </left>
      <right style="medium">
        <color rgb="FF3874B2"/>
      </right>
      <top style="medium">
        <color rgb="FF3874B2"/>
      </top>
      <bottom style="medium">
        <color rgb="FF3874B2"/>
      </bottom>
      <diagonal/>
    </border>
    <border>
      <left/>
      <right/>
      <top style="medium">
        <color rgb="FF3874B2"/>
      </top>
      <bottom style="medium">
        <color rgb="FF3874B2"/>
      </bottom>
      <diagonal/>
    </border>
    <border>
      <left/>
      <right style="medium">
        <color rgb="FF3874B2"/>
      </right>
      <top style="medium">
        <color rgb="FF3874B2"/>
      </top>
      <bottom style="medium">
        <color rgb="FF3874B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165" fontId="10" fillId="8" borderId="2" xfId="0" applyNumberFormat="1" applyFont="1" applyFill="1" applyBorder="1" applyAlignment="1">
      <alignment horizontal="right" vertical="center"/>
    </xf>
    <xf numFmtId="166" fontId="10" fillId="8" borderId="2" xfId="0" applyNumberFormat="1" applyFont="1" applyFill="1" applyBorder="1" applyAlignment="1">
      <alignment horizontal="right" vertical="center"/>
    </xf>
    <xf numFmtId="167" fontId="10" fillId="8" borderId="2" xfId="0" applyNumberFormat="1" applyFont="1" applyFill="1" applyBorder="1" applyAlignment="1">
      <alignment horizontal="right" vertical="center"/>
    </xf>
    <xf numFmtId="1" fontId="10" fillId="8" borderId="2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 wrapText="1"/>
    </xf>
    <xf numFmtId="164" fontId="13" fillId="10" borderId="2" xfId="0" applyNumberFormat="1" applyFont="1" applyFill="1" applyBorder="1" applyAlignment="1">
      <alignment horizontal="right" vertical="center"/>
    </xf>
    <xf numFmtId="168" fontId="13" fillId="10" borderId="2" xfId="0" applyNumberFormat="1" applyFont="1" applyFill="1" applyBorder="1" applyAlignment="1">
      <alignment horizontal="right" vertical="center"/>
    </xf>
    <xf numFmtId="165" fontId="13" fillId="10" borderId="2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6" fillId="11" borderId="1" xfId="0" applyFont="1" applyFill="1" applyBorder="1" applyAlignment="1">
      <alignment horizontal="left" vertical="center" wrapText="1"/>
    </xf>
    <xf numFmtId="164" fontId="13" fillId="11" borderId="1" xfId="0" applyNumberFormat="1" applyFont="1" applyFill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164" fontId="17" fillId="4" borderId="1" xfId="0" applyNumberFormat="1" applyFont="1" applyFill="1" applyBorder="1"/>
    <xf numFmtId="0" fontId="12" fillId="12" borderId="1" xfId="0" applyFont="1" applyFill="1" applyBorder="1" applyAlignment="1">
      <alignment horizontal="left" vertical="center" wrapText="1"/>
    </xf>
    <xf numFmtId="164" fontId="16" fillId="12" borderId="1" xfId="0" applyNumberFormat="1" applyFont="1" applyFill="1" applyBorder="1" applyAlignment="1">
      <alignment horizontal="right" vertical="center"/>
    </xf>
    <xf numFmtId="164" fontId="17" fillId="12" borderId="1" xfId="0" applyNumberFormat="1" applyFont="1" applyFill="1" applyBorder="1"/>
    <xf numFmtId="0" fontId="12" fillId="8" borderId="1" xfId="0" applyFont="1" applyFill="1" applyBorder="1" applyAlignment="1">
      <alignment horizontal="left" vertical="center" wrapText="1"/>
    </xf>
    <xf numFmtId="164" fontId="18" fillId="8" borderId="2" xfId="0" applyNumberFormat="1" applyFont="1" applyFill="1" applyBorder="1" applyAlignment="1">
      <alignment horizontal="right" vertical="center"/>
    </xf>
    <xf numFmtId="164" fontId="18" fillId="8" borderId="2" xfId="0" applyNumberFormat="1" applyFont="1" applyFill="1" applyBorder="1"/>
    <xf numFmtId="0" fontId="17" fillId="13" borderId="1" xfId="0" applyFont="1" applyFill="1" applyBorder="1" applyAlignment="1">
      <alignment horizontal="left" vertical="center" wrapText="1"/>
    </xf>
    <xf numFmtId="164" fontId="19" fillId="13" borderId="1" xfId="0" applyNumberFormat="1" applyFont="1" applyFill="1" applyBorder="1" applyAlignment="1">
      <alignment horizontal="right" vertical="center"/>
    </xf>
    <xf numFmtId="164" fontId="13" fillId="13" borderId="1" xfId="0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0" fontId="20" fillId="12" borderId="1" xfId="0" applyFont="1" applyFill="1" applyBorder="1" applyAlignment="1">
      <alignment horizontal="left" vertical="center" wrapText="1"/>
    </xf>
    <xf numFmtId="164" fontId="19" fillId="12" borderId="1" xfId="0" applyNumberFormat="1" applyFont="1" applyFill="1" applyBorder="1" applyAlignment="1">
      <alignment horizontal="right" vertical="center"/>
    </xf>
    <xf numFmtId="164" fontId="13" fillId="12" borderId="1" xfId="0" applyNumberFormat="1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164" fontId="5" fillId="8" borderId="2" xfId="0" applyNumberFormat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left" vertical="center" wrapText="1"/>
    </xf>
    <xf numFmtId="164" fontId="19" fillId="4" borderId="1" xfId="0" applyNumberFormat="1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right" vertical="center"/>
    </xf>
    <xf numFmtId="164" fontId="5" fillId="8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 vertical="center"/>
    </xf>
    <xf numFmtId="165" fontId="19" fillId="4" borderId="1" xfId="0" applyNumberFormat="1" applyFont="1" applyFill="1" applyBorder="1" applyAlignment="1">
      <alignment horizontal="right" vertical="center"/>
    </xf>
    <xf numFmtId="165" fontId="13" fillId="4" borderId="1" xfId="0" applyNumberFormat="1" applyFon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left" vertical="center" wrapText="1"/>
    </xf>
    <xf numFmtId="164" fontId="21" fillId="14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5" fillId="15" borderId="1" xfId="0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168" fontId="6" fillId="15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168" fontId="6" fillId="11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26" fillId="0" borderId="0" xfId="0" applyFont="1"/>
    <xf numFmtId="0" fontId="11" fillId="0" borderId="0" xfId="0" applyFont="1"/>
    <xf numFmtId="0" fontId="23" fillId="8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t>Patrimonio Neto vs Deuda (10 años)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Años'!$C$6</c:f>
              <c:numCache>
                <c:formatCode>\$#,##0;\(\$#,##0\);\-</c:formatCode>
                <c:ptCount val="1"/>
                <c:pt idx="0">
                  <c:v>151200000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788-5140-8A1B-3BDBFAF28864}"/>
            </c:ext>
          </c:extLst>
        </c:ser>
        <c:ser>
          <c:idx val="1"/>
          <c:order val="1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Años'!$D$6</c:f>
              <c:numCache>
                <c:formatCode>\$#,##0;\(\$#,##0\);\-</c:formatCode>
                <c:ptCount val="1"/>
                <c:pt idx="0">
                  <c:v>157248000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788-5140-8A1B-3BDBFAF28864}"/>
            </c:ext>
          </c:extLst>
        </c:ser>
        <c:ser>
          <c:idx val="2"/>
          <c:order val="2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Años'!$E$6</c:f>
              <c:numCache>
                <c:formatCode>\$#,##0;\(\$#,##0\);\-</c:formatCode>
                <c:ptCount val="1"/>
                <c:pt idx="0">
                  <c:v>163537920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788-5140-8A1B-3BDBFAF28864}"/>
            </c:ext>
          </c:extLst>
        </c:ser>
        <c:ser>
          <c:idx val="3"/>
          <c:order val="3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Años'!$F$6</c:f>
              <c:numCache>
                <c:formatCode>\$#,##0;\(\$#,##0\);\-</c:formatCode>
                <c:ptCount val="1"/>
                <c:pt idx="0">
                  <c:v>170079436.80000001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788-5140-8A1B-3BDBFAF28864}"/>
            </c:ext>
          </c:extLst>
        </c:ser>
        <c:ser>
          <c:idx val="4"/>
          <c:order val="4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Años'!$G$6</c:f>
              <c:numCache>
                <c:formatCode>\$#,##0;\(\$#,##0\);\-</c:formatCode>
                <c:ptCount val="1"/>
                <c:pt idx="0">
                  <c:v>176882614.27200001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788-5140-8A1B-3BDBFAF28864}"/>
            </c:ext>
          </c:extLst>
        </c:ser>
        <c:ser>
          <c:idx val="5"/>
          <c:order val="5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Años'!$H$6</c:f>
              <c:numCache>
                <c:formatCode>\$#,##0;\(\$#,##0\);\-</c:formatCode>
                <c:ptCount val="1"/>
                <c:pt idx="0">
                  <c:v>183957918.84288001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788-5140-8A1B-3BDBFAF28864}"/>
            </c:ext>
          </c:extLst>
        </c:ser>
        <c:ser>
          <c:idx val="6"/>
          <c:order val="6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Años'!$I$6</c:f>
              <c:numCache>
                <c:formatCode>\$#,##0;\(\$#,##0\);\-</c:formatCode>
                <c:ptCount val="1"/>
                <c:pt idx="0">
                  <c:v>191316235.59659523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788-5140-8A1B-3BDBFAF28864}"/>
            </c:ext>
          </c:extLst>
        </c:ser>
        <c:ser>
          <c:idx val="7"/>
          <c:order val="7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Años'!$J$6</c:f>
              <c:numCache>
                <c:formatCode>\$#,##0;\(\$#,##0\);\-</c:formatCode>
                <c:ptCount val="1"/>
                <c:pt idx="0">
                  <c:v>198968885.02045906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788-5140-8A1B-3BDBFAF28864}"/>
            </c:ext>
          </c:extLst>
        </c:ser>
        <c:ser>
          <c:idx val="8"/>
          <c:order val="8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Años'!$K$6</c:f>
              <c:numCache>
                <c:formatCode>\$#,##0;\(\$#,##0\);\-</c:formatCode>
                <c:ptCount val="1"/>
                <c:pt idx="0">
                  <c:v>206927640.42127743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788-5140-8A1B-3BDBFAF28864}"/>
            </c:ext>
          </c:extLst>
        </c:ser>
        <c:ser>
          <c:idx val="9"/>
          <c:order val="9"/>
          <c:spPr>
            <a:ln>
              <a:prstDash val="solid"/>
            </a:ln>
          </c:spPr>
          <c:marker>
            <c:symbol val="none"/>
          </c:marker>
          <c:val>
            <c:numRef>
              <c:f>'📈 Proyección 10 Años'!$L$6</c:f>
              <c:numCache>
                <c:formatCode>\$#,##0;\(\$#,##0\);\-</c:formatCode>
                <c:ptCount val="1"/>
                <c:pt idx="0">
                  <c:v>215204746.03812853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788-5140-8A1B-3BDBFAF2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Año</a:t>
                </a:r>
              </a:p>
            </c:rich>
          </c:tx>
          <c:overlay val="1"/>
        </c:title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CLP</a:t>
                </a:r>
              </a:p>
            </c:rich>
          </c:tx>
          <c:overlay val="1"/>
        </c:title>
        <c:numFmt formatCode="\$#,##0;\(\$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21</xdr:row>
      <xdr:rowOff>0</xdr:rowOff>
    </xdr:from>
    <xdr:ext cx="792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5"/>
  <sheetViews>
    <sheetView showGridLines="0" workbookViewId="0"/>
  </sheetViews>
  <sheetFormatPr baseColWidth="10" defaultColWidth="8.83203125" defaultRowHeight="15" x14ac:dyDescent="0.2"/>
  <cols>
    <col min="1" max="1" width="4" customWidth="1"/>
    <col min="2" max="2" width="52" customWidth="1"/>
    <col min="3" max="3" width="28" customWidth="1"/>
    <col min="4" max="4" width="4" customWidth="1"/>
  </cols>
  <sheetData>
    <row r="1" spans="2:3" ht="8" customHeight="1" x14ac:dyDescent="0.2"/>
    <row r="2" spans="2:3" ht="18" customHeight="1" x14ac:dyDescent="0.2"/>
    <row r="3" spans="2:3" ht="50" customHeight="1" x14ac:dyDescent="0.2">
      <c r="B3" s="62" t="s">
        <v>0</v>
      </c>
      <c r="C3" s="61"/>
    </row>
    <row r="4" spans="2:3" ht="30" customHeight="1" x14ac:dyDescent="0.2">
      <c r="B4" s="65" t="s">
        <v>1</v>
      </c>
      <c r="C4" s="61"/>
    </row>
    <row r="5" spans="2:3" ht="22" customHeight="1" x14ac:dyDescent="0.2">
      <c r="B5" s="63" t="s">
        <v>2</v>
      </c>
      <c r="C5" s="61"/>
    </row>
    <row r="6" spans="2:3" ht="18" customHeight="1" x14ac:dyDescent="0.2"/>
    <row r="8" spans="2:3" ht="20" customHeight="1" x14ac:dyDescent="0.2">
      <c r="B8" s="64" t="s">
        <v>3</v>
      </c>
      <c r="C8" s="61"/>
    </row>
    <row r="9" spans="2:3" ht="22" customHeight="1" x14ac:dyDescent="0.2">
      <c r="B9" s="1" t="s">
        <v>4</v>
      </c>
      <c r="C9" s="2" t="s">
        <v>5</v>
      </c>
    </row>
    <row r="10" spans="2:3" ht="22" customHeight="1" x14ac:dyDescent="0.2">
      <c r="B10" s="1" t="s">
        <v>6</v>
      </c>
      <c r="C10" s="2" t="s">
        <v>7</v>
      </c>
    </row>
    <row r="11" spans="2:3" ht="22" customHeight="1" x14ac:dyDescent="0.2">
      <c r="B11" s="1" t="s">
        <v>8</v>
      </c>
      <c r="C11" s="2" t="s">
        <v>9</v>
      </c>
    </row>
    <row r="12" spans="2:3" ht="22" customHeight="1" x14ac:dyDescent="0.2">
      <c r="B12" s="1" t="s">
        <v>10</v>
      </c>
      <c r="C12" s="2" t="s">
        <v>11</v>
      </c>
    </row>
    <row r="13" spans="2:3" ht="22" customHeight="1" x14ac:dyDescent="0.2">
      <c r="B13" s="1" t="s">
        <v>12</v>
      </c>
      <c r="C13" s="2" t="s">
        <v>13</v>
      </c>
    </row>
    <row r="15" spans="2:3" ht="16" customHeight="1" x14ac:dyDescent="0.2">
      <c r="B15" s="60" t="s">
        <v>14</v>
      </c>
      <c r="C15" s="61"/>
    </row>
  </sheetData>
  <mergeCells count="5">
    <mergeCell ref="B15:C15"/>
    <mergeCell ref="B3:C3"/>
    <mergeCell ref="B5:C5"/>
    <mergeCell ref="B8:C8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5"/>
  <sheetViews>
    <sheetView showGridLines="0" tabSelected="1" workbookViewId="0"/>
  </sheetViews>
  <sheetFormatPr baseColWidth="10" defaultColWidth="8.83203125" defaultRowHeight="15" x14ac:dyDescent="0.2"/>
  <cols>
    <col min="1" max="1" width="3" customWidth="1"/>
    <col min="2" max="2" width="38" customWidth="1"/>
    <col min="3" max="3" width="20" customWidth="1"/>
    <col min="4" max="4" width="18" customWidth="1"/>
    <col min="5" max="5" width="3" customWidth="1"/>
  </cols>
  <sheetData>
    <row r="1" spans="2:4" ht="8" customHeight="1" x14ac:dyDescent="0.2"/>
    <row r="2" spans="2:4" x14ac:dyDescent="0.2">
      <c r="B2" s="69" t="s">
        <v>15</v>
      </c>
      <c r="C2" s="61"/>
      <c r="D2" s="61"/>
    </row>
    <row r="3" spans="2:4" ht="8" customHeight="1" x14ac:dyDescent="0.2"/>
    <row r="4" spans="2:4" x14ac:dyDescent="0.2">
      <c r="B4" s="67" t="s">
        <v>16</v>
      </c>
      <c r="C4" s="61"/>
      <c r="D4" s="61"/>
    </row>
    <row r="5" spans="2:4" ht="22" customHeight="1" x14ac:dyDescent="0.2">
      <c r="B5" s="3" t="s">
        <v>17</v>
      </c>
      <c r="C5" s="4">
        <v>151200000</v>
      </c>
      <c r="D5" s="5" t="s">
        <v>18</v>
      </c>
    </row>
    <row r="6" spans="2:4" ht="22" customHeight="1" x14ac:dyDescent="0.2">
      <c r="B6" s="3" t="s">
        <v>19</v>
      </c>
      <c r="C6" s="6">
        <v>0.2</v>
      </c>
      <c r="D6" s="5" t="s">
        <v>20</v>
      </c>
    </row>
    <row r="7" spans="2:4" ht="22" customHeight="1" x14ac:dyDescent="0.2">
      <c r="B7" s="3" t="s">
        <v>21</v>
      </c>
      <c r="C7" s="4">
        <v>2300000</v>
      </c>
      <c r="D7" s="5" t="s">
        <v>22</v>
      </c>
    </row>
    <row r="8" spans="2:4" ht="22" customHeight="1" x14ac:dyDescent="0.2">
      <c r="B8" s="3" t="s">
        <v>23</v>
      </c>
      <c r="C8" s="4">
        <v>350000</v>
      </c>
      <c r="D8" s="5" t="s">
        <v>24</v>
      </c>
    </row>
    <row r="9" spans="2:4" ht="22" customHeight="1" x14ac:dyDescent="0.2">
      <c r="B9" s="3" t="s">
        <v>25</v>
      </c>
      <c r="C9" s="4">
        <v>0</v>
      </c>
      <c r="D9" s="5" t="s">
        <v>26</v>
      </c>
    </row>
    <row r="10" spans="2:4" ht="22" customHeight="1" x14ac:dyDescent="0.2">
      <c r="B10" s="3" t="s">
        <v>27</v>
      </c>
      <c r="C10" s="7">
        <v>48</v>
      </c>
      <c r="D10" s="5" t="s">
        <v>28</v>
      </c>
    </row>
    <row r="11" spans="2:4" ht="6" customHeight="1" x14ac:dyDescent="0.2"/>
    <row r="12" spans="2:4" x14ac:dyDescent="0.2">
      <c r="B12" s="66" t="s">
        <v>29</v>
      </c>
      <c r="C12" s="61"/>
      <c r="D12" s="61"/>
    </row>
    <row r="13" spans="2:4" ht="22" customHeight="1" x14ac:dyDescent="0.2">
      <c r="B13" s="3" t="s">
        <v>30</v>
      </c>
      <c r="C13" s="6">
        <v>5.1999999999999998E-2</v>
      </c>
      <c r="D13" s="5" t="s">
        <v>31</v>
      </c>
    </row>
    <row r="14" spans="2:4" ht="22" customHeight="1" x14ac:dyDescent="0.2">
      <c r="B14" s="3" t="s">
        <v>32</v>
      </c>
      <c r="C14" s="8">
        <v>25</v>
      </c>
      <c r="D14" s="5" t="s">
        <v>33</v>
      </c>
    </row>
    <row r="15" spans="2:4" ht="22" customHeight="1" x14ac:dyDescent="0.2">
      <c r="B15" s="3" t="s">
        <v>34</v>
      </c>
      <c r="C15" s="6">
        <v>3.5000000000000003E-2</v>
      </c>
      <c r="D15" s="5" t="s">
        <v>35</v>
      </c>
    </row>
    <row r="16" spans="2:4" ht="6" customHeight="1" x14ac:dyDescent="0.2"/>
    <row r="17" spans="2:4" x14ac:dyDescent="0.2">
      <c r="B17" s="67" t="s">
        <v>36</v>
      </c>
      <c r="C17" s="61"/>
      <c r="D17" s="61"/>
    </row>
    <row r="18" spans="2:4" ht="22" customHeight="1" x14ac:dyDescent="0.2">
      <c r="B18" s="3" t="s">
        <v>37</v>
      </c>
      <c r="C18" s="4">
        <v>420000</v>
      </c>
      <c r="D18" s="5" t="s">
        <v>38</v>
      </c>
    </row>
    <row r="19" spans="2:4" ht="22" customHeight="1" x14ac:dyDescent="0.2">
      <c r="B19" s="3" t="s">
        <v>39</v>
      </c>
      <c r="C19" s="6">
        <v>0.05</v>
      </c>
      <c r="D19" s="5" t="s">
        <v>40</v>
      </c>
    </row>
    <row r="20" spans="2:4" ht="22" customHeight="1" x14ac:dyDescent="0.2">
      <c r="B20" s="3" t="s">
        <v>41</v>
      </c>
      <c r="C20" s="6">
        <v>3.5000000000000003E-2</v>
      </c>
      <c r="D20" s="5" t="s">
        <v>42</v>
      </c>
    </row>
    <row r="21" spans="2:4" ht="6" customHeight="1" x14ac:dyDescent="0.2"/>
    <row r="22" spans="2:4" x14ac:dyDescent="0.2">
      <c r="B22" s="66" t="s">
        <v>43</v>
      </c>
      <c r="C22" s="61"/>
      <c r="D22" s="61"/>
    </row>
    <row r="23" spans="2:4" ht="22" customHeight="1" x14ac:dyDescent="0.2">
      <c r="B23" s="3" t="s">
        <v>44</v>
      </c>
      <c r="C23" s="4">
        <v>55000</v>
      </c>
      <c r="D23" s="5" t="s">
        <v>45</v>
      </c>
    </row>
    <row r="24" spans="2:4" ht="22" customHeight="1" x14ac:dyDescent="0.2">
      <c r="B24" s="3" t="s">
        <v>46</v>
      </c>
      <c r="C24" s="4">
        <v>25000</v>
      </c>
      <c r="D24" s="5" t="s">
        <v>47</v>
      </c>
    </row>
    <row r="25" spans="2:4" ht="22" customHeight="1" x14ac:dyDescent="0.2">
      <c r="B25" s="3" t="s">
        <v>48</v>
      </c>
      <c r="C25" s="6">
        <v>5.0000000000000001E-3</v>
      </c>
      <c r="D25" s="5" t="s">
        <v>49</v>
      </c>
    </row>
    <row r="26" spans="2:4" ht="22" customHeight="1" x14ac:dyDescent="0.2">
      <c r="B26" s="3" t="s">
        <v>50</v>
      </c>
      <c r="C26" s="4">
        <v>18000</v>
      </c>
      <c r="D26" s="5" t="s">
        <v>51</v>
      </c>
    </row>
    <row r="27" spans="2:4" ht="22" customHeight="1" x14ac:dyDescent="0.2">
      <c r="B27" s="3" t="s">
        <v>52</v>
      </c>
      <c r="C27" s="4">
        <v>0</v>
      </c>
      <c r="D27" s="5" t="s">
        <v>53</v>
      </c>
    </row>
    <row r="28" spans="2:4" ht="6" customHeight="1" x14ac:dyDescent="0.2"/>
    <row r="29" spans="2:4" x14ac:dyDescent="0.2">
      <c r="B29" s="67" t="s">
        <v>54</v>
      </c>
      <c r="C29" s="61"/>
      <c r="D29" s="61"/>
    </row>
    <row r="30" spans="2:4" ht="22" customHeight="1" x14ac:dyDescent="0.2">
      <c r="B30" s="3" t="s">
        <v>55</v>
      </c>
      <c r="C30" s="6">
        <v>0.04</v>
      </c>
      <c r="D30" s="5" t="s">
        <v>56</v>
      </c>
    </row>
    <row r="31" spans="2:4" ht="22" customHeight="1" x14ac:dyDescent="0.2">
      <c r="B31" s="3" t="s">
        <v>57</v>
      </c>
      <c r="C31" s="9">
        <v>2025</v>
      </c>
      <c r="D31" s="5" t="s">
        <v>58</v>
      </c>
    </row>
    <row r="32" spans="2:4" ht="6" customHeight="1" x14ac:dyDescent="0.2"/>
    <row r="33" spans="2:4" x14ac:dyDescent="0.2">
      <c r="B33" s="66" t="s">
        <v>59</v>
      </c>
      <c r="C33" s="61"/>
      <c r="D33" s="61"/>
    </row>
    <row r="34" spans="2:4" ht="22" customHeight="1" x14ac:dyDescent="0.2">
      <c r="B34" s="3" t="s">
        <v>60</v>
      </c>
      <c r="C34" s="4">
        <v>2800000</v>
      </c>
      <c r="D34" s="5" t="s">
        <v>61</v>
      </c>
    </row>
    <row r="35" spans="2:4" ht="22" customHeight="1" x14ac:dyDescent="0.2">
      <c r="B35" s="3" t="s">
        <v>62</v>
      </c>
      <c r="C35" s="4">
        <v>150000</v>
      </c>
      <c r="D35" s="5" t="s">
        <v>63</v>
      </c>
    </row>
    <row r="37" spans="2:4" ht="8" customHeight="1" x14ac:dyDescent="0.2"/>
    <row r="38" spans="2:4" x14ac:dyDescent="0.2">
      <c r="B38" s="68" t="s">
        <v>64</v>
      </c>
      <c r="C38" s="61"/>
      <c r="D38" s="61"/>
    </row>
    <row r="39" spans="2:4" ht="22" customHeight="1" x14ac:dyDescent="0.2">
      <c r="B39" s="10" t="s">
        <v>65</v>
      </c>
      <c r="C39" s="11">
        <f>C5*C6+C7+C8+C9</f>
        <v>32890000</v>
      </c>
    </row>
    <row r="40" spans="2:4" ht="22" customHeight="1" x14ac:dyDescent="0.2">
      <c r="B40" s="10" t="s">
        <v>66</v>
      </c>
      <c r="C40" s="11">
        <f>C5*(1-C6)</f>
        <v>120960000</v>
      </c>
    </row>
    <row r="41" spans="2:4" ht="22" customHeight="1" x14ac:dyDescent="0.2">
      <c r="B41" s="10" t="s">
        <v>67</v>
      </c>
      <c r="C41" s="11">
        <f>IFERROR(C40*(C13/12)*(1+C13/12)^(C14*12)/((1+C13/12)^(C14*12)-1),0)</f>
        <v>721286.3167550714</v>
      </c>
    </row>
    <row r="42" spans="2:4" ht="22" customHeight="1" x14ac:dyDescent="0.2">
      <c r="B42" s="10" t="s">
        <v>68</v>
      </c>
      <c r="C42" s="12">
        <f>IFERROR(C5/C10,0)</f>
        <v>3150000</v>
      </c>
    </row>
    <row r="43" spans="2:4" ht="22" customHeight="1" x14ac:dyDescent="0.2">
      <c r="B43" s="10" t="s">
        <v>69</v>
      </c>
      <c r="C43" s="13">
        <f>IFERROR(C18*12/C5,0)</f>
        <v>3.3333333333333333E-2</v>
      </c>
    </row>
    <row r="44" spans="2:4" ht="22" customHeight="1" x14ac:dyDescent="0.2">
      <c r="B44" s="10" t="s">
        <v>70</v>
      </c>
      <c r="C44" s="11">
        <f>IFERROR(C18*(1-C19)-C41-C23-C24-C5*C25/12-C26-C27,0)</f>
        <v>-483286.3167550714</v>
      </c>
    </row>
    <row r="45" spans="2:4" ht="22" customHeight="1" x14ac:dyDescent="0.2">
      <c r="B45" s="10" t="s">
        <v>71</v>
      </c>
      <c r="C45" s="13">
        <f>IFERROR((C41+C35)/C34,0)</f>
        <v>0.31117368455538263</v>
      </c>
    </row>
  </sheetData>
  <mergeCells count="8">
    <mergeCell ref="B38:D38"/>
    <mergeCell ref="B2:D2"/>
    <mergeCell ref="B33:D33"/>
    <mergeCell ref="B29:D29"/>
    <mergeCell ref="B22:D22"/>
    <mergeCell ref="B4:D4"/>
    <mergeCell ref="B17:D17"/>
    <mergeCell ref="B12:D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7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22" customWidth="1"/>
    <col min="3" max="14" width="10" customWidth="1"/>
    <col min="15" max="15" width="14" customWidth="1"/>
  </cols>
  <sheetData>
    <row r="1" spans="2:15" ht="8" customHeight="1" x14ac:dyDescent="0.2"/>
    <row r="2" spans="2:15" ht="28" customHeight="1" x14ac:dyDescent="0.2">
      <c r="B2" s="70" t="s">
        <v>72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2:15" ht="8" customHeight="1" x14ac:dyDescent="0.2"/>
    <row r="4" spans="2:15" ht="22" customHeight="1" x14ac:dyDescent="0.2">
      <c r="B4" s="14" t="s">
        <v>73</v>
      </c>
      <c r="C4" s="15" t="s">
        <v>74</v>
      </c>
      <c r="D4" s="15" t="s">
        <v>75</v>
      </c>
      <c r="E4" s="15" t="s">
        <v>76</v>
      </c>
      <c r="F4" s="15" t="s">
        <v>77</v>
      </c>
      <c r="G4" s="15" t="s">
        <v>78</v>
      </c>
      <c r="H4" s="15" t="s">
        <v>79</v>
      </c>
      <c r="I4" s="15" t="s">
        <v>80</v>
      </c>
      <c r="J4" s="15" t="s">
        <v>81</v>
      </c>
      <c r="K4" s="15" t="s">
        <v>82</v>
      </c>
      <c r="L4" s="15" t="s">
        <v>83</v>
      </c>
      <c r="M4" s="15" t="s">
        <v>84</v>
      </c>
      <c r="N4" s="15" t="s">
        <v>85</v>
      </c>
      <c r="O4" s="14" t="s">
        <v>86</v>
      </c>
    </row>
    <row r="5" spans="2:15" ht="20" customHeight="1" x14ac:dyDescent="0.2">
      <c r="B5" s="16" t="s">
        <v>87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5" ht="20" customHeight="1" x14ac:dyDescent="0.2">
      <c r="B6" s="18" t="s">
        <v>88</v>
      </c>
      <c r="C6" s="19">
        <f>'📊 Supuestos'!$C$18*(1+'📊 Supuestos'!$C$20)^INT((1-1)/12)</f>
        <v>420000</v>
      </c>
      <c r="D6" s="19">
        <f>'📊 Supuestos'!$C$18*(1+'📊 Supuestos'!$C$20)^INT((2-1)/12)</f>
        <v>420000</v>
      </c>
      <c r="E6" s="19">
        <f>'📊 Supuestos'!$C$18*(1+'📊 Supuestos'!$C$20)^INT((3-1)/12)</f>
        <v>420000</v>
      </c>
      <c r="F6" s="19">
        <f>'📊 Supuestos'!$C$18*(1+'📊 Supuestos'!$C$20)^INT((4-1)/12)</f>
        <v>420000</v>
      </c>
      <c r="G6" s="19">
        <f>'📊 Supuestos'!$C$18*(1+'📊 Supuestos'!$C$20)^INT((5-1)/12)</f>
        <v>420000</v>
      </c>
      <c r="H6" s="19">
        <f>'📊 Supuestos'!$C$18*(1+'📊 Supuestos'!$C$20)^INT((6-1)/12)</f>
        <v>420000</v>
      </c>
      <c r="I6" s="19">
        <f>'📊 Supuestos'!$C$18*(1+'📊 Supuestos'!$C$20)^INT((7-1)/12)</f>
        <v>420000</v>
      </c>
      <c r="J6" s="19">
        <f>'📊 Supuestos'!$C$18*(1+'📊 Supuestos'!$C$20)^INT((8-1)/12)</f>
        <v>420000</v>
      </c>
      <c r="K6" s="19">
        <f>'📊 Supuestos'!$C$18*(1+'📊 Supuestos'!$C$20)^INT((9-1)/12)</f>
        <v>420000</v>
      </c>
      <c r="L6" s="19">
        <f>'📊 Supuestos'!$C$18*(1+'📊 Supuestos'!$C$20)^INT((10-1)/12)</f>
        <v>420000</v>
      </c>
      <c r="M6" s="19">
        <f>'📊 Supuestos'!$C$18*(1+'📊 Supuestos'!$C$20)^INT((11-1)/12)</f>
        <v>420000</v>
      </c>
      <c r="N6" s="19">
        <f>'📊 Supuestos'!$C$18*(1+'📊 Supuestos'!$C$20)^INT((12-1)/12)</f>
        <v>420000</v>
      </c>
      <c r="O6" s="20">
        <f>SUM(C6:N6)</f>
        <v>5040000</v>
      </c>
    </row>
    <row r="7" spans="2:15" ht="20" customHeight="1" x14ac:dyDescent="0.2">
      <c r="B7" s="18" t="s">
        <v>89</v>
      </c>
      <c r="C7" s="19">
        <f>-'📊 Supuestos'!$C$18*(1+'📊 Supuestos'!$C$20)^INT((1-1)/12)*'📊 Supuestos'!$C$19/12*12/12</f>
        <v>-1750</v>
      </c>
      <c r="D7" s="19">
        <f>-'📊 Supuestos'!$C$18*(1+'📊 Supuestos'!$C$20)^INT((2-1)/12)*'📊 Supuestos'!$C$19/12*12/12</f>
        <v>-1750</v>
      </c>
      <c r="E7" s="19">
        <f>-'📊 Supuestos'!$C$18*(1+'📊 Supuestos'!$C$20)^INT((3-1)/12)*'📊 Supuestos'!$C$19/12*12/12</f>
        <v>-1750</v>
      </c>
      <c r="F7" s="19">
        <f>-'📊 Supuestos'!$C$18*(1+'📊 Supuestos'!$C$20)^INT((4-1)/12)*'📊 Supuestos'!$C$19/12*12/12</f>
        <v>-1750</v>
      </c>
      <c r="G7" s="19">
        <f>-'📊 Supuestos'!$C$18*(1+'📊 Supuestos'!$C$20)^INT((5-1)/12)*'📊 Supuestos'!$C$19/12*12/12</f>
        <v>-1750</v>
      </c>
      <c r="H7" s="19">
        <f>-'📊 Supuestos'!$C$18*(1+'📊 Supuestos'!$C$20)^INT((6-1)/12)*'📊 Supuestos'!$C$19/12*12/12</f>
        <v>-1750</v>
      </c>
      <c r="I7" s="19">
        <f>-'📊 Supuestos'!$C$18*(1+'📊 Supuestos'!$C$20)^INT((7-1)/12)*'📊 Supuestos'!$C$19/12*12/12</f>
        <v>-1750</v>
      </c>
      <c r="J7" s="19">
        <f>-'📊 Supuestos'!$C$18*(1+'📊 Supuestos'!$C$20)^INT((8-1)/12)*'📊 Supuestos'!$C$19/12*12/12</f>
        <v>-1750</v>
      </c>
      <c r="K7" s="19">
        <f>-'📊 Supuestos'!$C$18*(1+'📊 Supuestos'!$C$20)^INT((9-1)/12)*'📊 Supuestos'!$C$19/12*12/12</f>
        <v>-1750</v>
      </c>
      <c r="L7" s="19">
        <f>-'📊 Supuestos'!$C$18*(1+'📊 Supuestos'!$C$20)^INT((10-1)/12)*'📊 Supuestos'!$C$19/12*12/12</f>
        <v>-1750</v>
      </c>
      <c r="M7" s="19">
        <f>-'📊 Supuestos'!$C$18*(1+'📊 Supuestos'!$C$20)^INT((11-1)/12)*'📊 Supuestos'!$C$19/12*12/12</f>
        <v>-1750</v>
      </c>
      <c r="N7" s="19">
        <f>-'📊 Supuestos'!$C$18*(1+'📊 Supuestos'!$C$20)^INT((12-1)/12)*'📊 Supuestos'!$C$19/12*12/12</f>
        <v>-1750</v>
      </c>
      <c r="O7" s="20">
        <f>SUM(C7:N7)</f>
        <v>-21000</v>
      </c>
    </row>
    <row r="8" spans="2:15" ht="20" customHeight="1" x14ac:dyDescent="0.2">
      <c r="B8" s="10" t="e">
        <f>Ingreso neto arriendo</f>
        <v>#NAME?</v>
      </c>
      <c r="C8" s="20">
        <f t="shared" ref="C8:N8" si="0">C6+C7</f>
        <v>418250</v>
      </c>
      <c r="D8" s="20">
        <f t="shared" si="0"/>
        <v>418250</v>
      </c>
      <c r="E8" s="20">
        <f t="shared" si="0"/>
        <v>418250</v>
      </c>
      <c r="F8" s="20">
        <f t="shared" si="0"/>
        <v>418250</v>
      </c>
      <c r="G8" s="20">
        <f t="shared" si="0"/>
        <v>418250</v>
      </c>
      <c r="H8" s="20">
        <f t="shared" si="0"/>
        <v>418250</v>
      </c>
      <c r="I8" s="20">
        <f t="shared" si="0"/>
        <v>418250</v>
      </c>
      <c r="J8" s="20">
        <f t="shared" si="0"/>
        <v>418250</v>
      </c>
      <c r="K8" s="20">
        <f t="shared" si="0"/>
        <v>418250</v>
      </c>
      <c r="L8" s="20">
        <f t="shared" si="0"/>
        <v>418250</v>
      </c>
      <c r="M8" s="20">
        <f t="shared" si="0"/>
        <v>418250</v>
      </c>
      <c r="N8" s="20">
        <f t="shared" si="0"/>
        <v>418250</v>
      </c>
      <c r="O8" s="21">
        <f>SUM(C8:N8)</f>
        <v>5019000</v>
      </c>
    </row>
    <row r="9" spans="2:15" ht="20" customHeight="1" x14ac:dyDescent="0.2">
      <c r="B9" s="16" t="s">
        <v>90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 ht="20" customHeight="1" x14ac:dyDescent="0.2">
      <c r="B10" s="18" t="s">
        <v>91</v>
      </c>
      <c r="C10" s="19">
        <f>-'📊 Supuestos'!$C$41</f>
        <v>-721286.3167550714</v>
      </c>
      <c r="D10" s="19">
        <f>-'📊 Supuestos'!$C$41</f>
        <v>-721286.3167550714</v>
      </c>
      <c r="E10" s="19">
        <f>-'📊 Supuestos'!$C$41</f>
        <v>-721286.3167550714</v>
      </c>
      <c r="F10" s="19">
        <f>-'📊 Supuestos'!$C$41</f>
        <v>-721286.3167550714</v>
      </c>
      <c r="G10" s="19">
        <f>-'📊 Supuestos'!$C$41</f>
        <v>-721286.3167550714</v>
      </c>
      <c r="H10" s="19">
        <f>-'📊 Supuestos'!$C$41</f>
        <v>-721286.3167550714</v>
      </c>
      <c r="I10" s="19">
        <f>-'📊 Supuestos'!$C$41</f>
        <v>-721286.3167550714</v>
      </c>
      <c r="J10" s="19">
        <f>-'📊 Supuestos'!$C$41</f>
        <v>-721286.3167550714</v>
      </c>
      <c r="K10" s="19">
        <f>-'📊 Supuestos'!$C$41</f>
        <v>-721286.3167550714</v>
      </c>
      <c r="L10" s="19">
        <f>-'📊 Supuestos'!$C$41</f>
        <v>-721286.3167550714</v>
      </c>
      <c r="M10" s="19">
        <f>-'📊 Supuestos'!$C$41</f>
        <v>-721286.3167550714</v>
      </c>
      <c r="N10" s="19">
        <f>-'📊 Supuestos'!$C$41</f>
        <v>-721286.3167550714</v>
      </c>
      <c r="O10" s="20">
        <f t="shared" ref="O10:O17" si="1">SUM(C10:N10)</f>
        <v>-8655435.8010608573</v>
      </c>
    </row>
    <row r="11" spans="2:15" ht="20" customHeight="1" x14ac:dyDescent="0.2">
      <c r="B11" s="18" t="s">
        <v>92</v>
      </c>
      <c r="C11" s="19">
        <f>-'📊 Supuestos'!$C$23</f>
        <v>-55000</v>
      </c>
      <c r="D11" s="19">
        <f>-'📊 Supuestos'!$C$23</f>
        <v>-55000</v>
      </c>
      <c r="E11" s="19">
        <f>-'📊 Supuestos'!$C$23</f>
        <v>-55000</v>
      </c>
      <c r="F11" s="19">
        <f>-'📊 Supuestos'!$C$23</f>
        <v>-55000</v>
      </c>
      <c r="G11" s="19">
        <f>-'📊 Supuestos'!$C$23</f>
        <v>-55000</v>
      </c>
      <c r="H11" s="19">
        <f>-'📊 Supuestos'!$C$23</f>
        <v>-55000</v>
      </c>
      <c r="I11" s="19">
        <f>-'📊 Supuestos'!$C$23</f>
        <v>-55000</v>
      </c>
      <c r="J11" s="19">
        <f>-'📊 Supuestos'!$C$23</f>
        <v>-55000</v>
      </c>
      <c r="K11" s="19">
        <f>-'📊 Supuestos'!$C$23</f>
        <v>-55000</v>
      </c>
      <c r="L11" s="19">
        <f>-'📊 Supuestos'!$C$23</f>
        <v>-55000</v>
      </c>
      <c r="M11" s="19">
        <f>-'📊 Supuestos'!$C$23</f>
        <v>-55000</v>
      </c>
      <c r="N11" s="19">
        <f>-'📊 Supuestos'!$C$23</f>
        <v>-55000</v>
      </c>
      <c r="O11" s="20">
        <f t="shared" si="1"/>
        <v>-660000</v>
      </c>
    </row>
    <row r="12" spans="2:15" ht="20" customHeight="1" x14ac:dyDescent="0.2">
      <c r="B12" s="18" t="s">
        <v>93</v>
      </c>
      <c r="C12" s="19">
        <f>-'📊 Supuestos'!$C$24</f>
        <v>-25000</v>
      </c>
      <c r="D12" s="19">
        <f>-'📊 Supuestos'!$C$24</f>
        <v>-25000</v>
      </c>
      <c r="E12" s="19">
        <f>-'📊 Supuestos'!$C$24</f>
        <v>-25000</v>
      </c>
      <c r="F12" s="19">
        <f>-'📊 Supuestos'!$C$24</f>
        <v>-25000</v>
      </c>
      <c r="G12" s="19">
        <f>-'📊 Supuestos'!$C$24</f>
        <v>-25000</v>
      </c>
      <c r="H12" s="19">
        <f>-'📊 Supuestos'!$C$24</f>
        <v>-25000</v>
      </c>
      <c r="I12" s="19">
        <f>-'📊 Supuestos'!$C$24</f>
        <v>-25000</v>
      </c>
      <c r="J12" s="19">
        <f>-'📊 Supuestos'!$C$24</f>
        <v>-25000</v>
      </c>
      <c r="K12" s="19">
        <f>-'📊 Supuestos'!$C$24</f>
        <v>-25000</v>
      </c>
      <c r="L12" s="19">
        <f>-'📊 Supuestos'!$C$24</f>
        <v>-25000</v>
      </c>
      <c r="M12" s="19">
        <f>-'📊 Supuestos'!$C$24</f>
        <v>-25000</v>
      </c>
      <c r="N12" s="19">
        <f>-'📊 Supuestos'!$C$24</f>
        <v>-25000</v>
      </c>
      <c r="O12" s="20">
        <f t="shared" si="1"/>
        <v>-300000</v>
      </c>
    </row>
    <row r="13" spans="2:15" ht="20" customHeight="1" x14ac:dyDescent="0.2">
      <c r="B13" s="18" t="s">
        <v>94</v>
      </c>
      <c r="C13" s="19">
        <f>-'📊 Supuestos'!$C$26</f>
        <v>-18000</v>
      </c>
      <c r="D13" s="19">
        <f>-'📊 Supuestos'!$C$26</f>
        <v>-18000</v>
      </c>
      <c r="E13" s="19">
        <f>-'📊 Supuestos'!$C$26</f>
        <v>-18000</v>
      </c>
      <c r="F13" s="19">
        <f>-'📊 Supuestos'!$C$26</f>
        <v>-18000</v>
      </c>
      <c r="G13" s="19">
        <f>-'📊 Supuestos'!$C$26</f>
        <v>-18000</v>
      </c>
      <c r="H13" s="19">
        <f>-'📊 Supuestos'!$C$26</f>
        <v>-18000</v>
      </c>
      <c r="I13" s="19">
        <f>-'📊 Supuestos'!$C$26</f>
        <v>-18000</v>
      </c>
      <c r="J13" s="19">
        <f>-'📊 Supuestos'!$C$26</f>
        <v>-18000</v>
      </c>
      <c r="K13" s="19">
        <f>-'📊 Supuestos'!$C$26</f>
        <v>-18000</v>
      </c>
      <c r="L13" s="19">
        <f>-'📊 Supuestos'!$C$26</f>
        <v>-18000</v>
      </c>
      <c r="M13" s="19">
        <f>-'📊 Supuestos'!$C$26</f>
        <v>-18000</v>
      </c>
      <c r="N13" s="19">
        <f>-'📊 Supuestos'!$C$26</f>
        <v>-18000</v>
      </c>
      <c r="O13" s="20">
        <f t="shared" si="1"/>
        <v>-216000</v>
      </c>
    </row>
    <row r="14" spans="2:15" ht="20" customHeight="1" x14ac:dyDescent="0.2">
      <c r="B14" s="18" t="s">
        <v>95</v>
      </c>
      <c r="C14" s="19">
        <f>-'📊 Supuestos'!$C$27</f>
        <v>0</v>
      </c>
      <c r="D14" s="19">
        <f>-'📊 Supuestos'!$C$27</f>
        <v>0</v>
      </c>
      <c r="E14" s="19">
        <f>-'📊 Supuestos'!$C$27</f>
        <v>0</v>
      </c>
      <c r="F14" s="19">
        <f>-'📊 Supuestos'!$C$27</f>
        <v>0</v>
      </c>
      <c r="G14" s="19">
        <f>-'📊 Supuestos'!$C$27</f>
        <v>0</v>
      </c>
      <c r="H14" s="19">
        <f>-'📊 Supuestos'!$C$27</f>
        <v>0</v>
      </c>
      <c r="I14" s="19">
        <f>-'📊 Supuestos'!$C$27</f>
        <v>0</v>
      </c>
      <c r="J14" s="19">
        <f>-'📊 Supuestos'!$C$27</f>
        <v>0</v>
      </c>
      <c r="K14" s="19">
        <f>-'📊 Supuestos'!$C$27</f>
        <v>0</v>
      </c>
      <c r="L14" s="19">
        <f>-'📊 Supuestos'!$C$27</f>
        <v>0</v>
      </c>
      <c r="M14" s="19">
        <f>-'📊 Supuestos'!$C$27</f>
        <v>0</v>
      </c>
      <c r="N14" s="19">
        <f>-'📊 Supuestos'!$C$27</f>
        <v>0</v>
      </c>
      <c r="O14" s="20">
        <f t="shared" si="1"/>
        <v>0</v>
      </c>
    </row>
    <row r="15" spans="2:15" ht="20" customHeight="1" x14ac:dyDescent="0.2">
      <c r="B15" s="18" t="s">
        <v>96</v>
      </c>
      <c r="C15" s="19">
        <f>-'📊 Supuestos'!$C$5*'📊 Supuestos'!$C$25/12</f>
        <v>-63000</v>
      </c>
      <c r="D15" s="19">
        <f>-'📊 Supuestos'!$C$5*'📊 Supuestos'!$C$25/12</f>
        <v>-63000</v>
      </c>
      <c r="E15" s="19">
        <f>-'📊 Supuestos'!$C$5*'📊 Supuestos'!$C$25/12</f>
        <v>-63000</v>
      </c>
      <c r="F15" s="19">
        <f>-'📊 Supuestos'!$C$5*'📊 Supuestos'!$C$25/12</f>
        <v>-63000</v>
      </c>
      <c r="G15" s="19">
        <f>-'📊 Supuestos'!$C$5*'📊 Supuestos'!$C$25/12</f>
        <v>-63000</v>
      </c>
      <c r="H15" s="19">
        <f>-'📊 Supuestos'!$C$5*'📊 Supuestos'!$C$25/12</f>
        <v>-63000</v>
      </c>
      <c r="I15" s="19">
        <f>-'📊 Supuestos'!$C$5*'📊 Supuestos'!$C$25/12</f>
        <v>-63000</v>
      </c>
      <c r="J15" s="19">
        <f>-'📊 Supuestos'!$C$5*'📊 Supuestos'!$C$25/12</f>
        <v>-63000</v>
      </c>
      <c r="K15" s="19">
        <f>-'📊 Supuestos'!$C$5*'📊 Supuestos'!$C$25/12</f>
        <v>-63000</v>
      </c>
      <c r="L15" s="19">
        <f>-'📊 Supuestos'!$C$5*'📊 Supuestos'!$C$25/12</f>
        <v>-63000</v>
      </c>
      <c r="M15" s="19">
        <f>-'📊 Supuestos'!$C$5*'📊 Supuestos'!$C$25/12</f>
        <v>-63000</v>
      </c>
      <c r="N15" s="19">
        <f>-'📊 Supuestos'!$C$5*'📊 Supuestos'!$C$25/12</f>
        <v>-63000</v>
      </c>
      <c r="O15" s="20">
        <f t="shared" si="1"/>
        <v>-756000</v>
      </c>
    </row>
    <row r="16" spans="2:15" ht="20" customHeight="1" x14ac:dyDescent="0.2">
      <c r="B16" s="22" t="e">
        <f>Total gastos</f>
        <v>#NAME?</v>
      </c>
      <c r="C16" s="23">
        <f t="shared" ref="C16:N16" si="2">SUM(C10:C15)</f>
        <v>-882286.3167550714</v>
      </c>
      <c r="D16" s="23">
        <f t="shared" si="2"/>
        <v>-882286.3167550714</v>
      </c>
      <c r="E16" s="23">
        <f t="shared" si="2"/>
        <v>-882286.3167550714</v>
      </c>
      <c r="F16" s="23">
        <f t="shared" si="2"/>
        <v>-882286.3167550714</v>
      </c>
      <c r="G16" s="23">
        <f t="shared" si="2"/>
        <v>-882286.3167550714</v>
      </c>
      <c r="H16" s="23">
        <f t="shared" si="2"/>
        <v>-882286.3167550714</v>
      </c>
      <c r="I16" s="23">
        <f t="shared" si="2"/>
        <v>-882286.3167550714</v>
      </c>
      <c r="J16" s="23">
        <f t="shared" si="2"/>
        <v>-882286.3167550714</v>
      </c>
      <c r="K16" s="23">
        <f t="shared" si="2"/>
        <v>-882286.3167550714</v>
      </c>
      <c r="L16" s="23">
        <f t="shared" si="2"/>
        <v>-882286.3167550714</v>
      </c>
      <c r="M16" s="23">
        <f t="shared" si="2"/>
        <v>-882286.3167550714</v>
      </c>
      <c r="N16" s="23">
        <f t="shared" si="2"/>
        <v>-882286.3167550714</v>
      </c>
      <c r="O16" s="24">
        <f t="shared" si="1"/>
        <v>-10587435.801060857</v>
      </c>
    </row>
    <row r="17" spans="2:15" ht="20" customHeight="1" x14ac:dyDescent="0.2">
      <c r="B17" s="25" t="s">
        <v>97</v>
      </c>
      <c r="C17" s="26">
        <f t="shared" ref="C17:N17" si="3">C8+C16</f>
        <v>-464036.3167550714</v>
      </c>
      <c r="D17" s="26">
        <f t="shared" si="3"/>
        <v>-464036.3167550714</v>
      </c>
      <c r="E17" s="26">
        <f t="shared" si="3"/>
        <v>-464036.3167550714</v>
      </c>
      <c r="F17" s="26">
        <f t="shared" si="3"/>
        <v>-464036.3167550714</v>
      </c>
      <c r="G17" s="26">
        <f t="shared" si="3"/>
        <v>-464036.3167550714</v>
      </c>
      <c r="H17" s="26">
        <f t="shared" si="3"/>
        <v>-464036.3167550714</v>
      </c>
      <c r="I17" s="26">
        <f t="shared" si="3"/>
        <v>-464036.3167550714</v>
      </c>
      <c r="J17" s="26">
        <f t="shared" si="3"/>
        <v>-464036.3167550714</v>
      </c>
      <c r="K17" s="26">
        <f t="shared" si="3"/>
        <v>-464036.3167550714</v>
      </c>
      <c r="L17" s="26">
        <f t="shared" si="3"/>
        <v>-464036.3167550714</v>
      </c>
      <c r="M17" s="26">
        <f t="shared" si="3"/>
        <v>-464036.3167550714</v>
      </c>
      <c r="N17" s="26">
        <f t="shared" si="3"/>
        <v>-464036.3167550714</v>
      </c>
      <c r="O17" s="27">
        <f t="shared" si="1"/>
        <v>-5568435.8010608563</v>
      </c>
    </row>
  </sheetData>
  <mergeCells count="1">
    <mergeCell ref="B2:L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6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28" customWidth="1"/>
    <col min="3" max="12" width="12" customWidth="1"/>
    <col min="13" max="13" width="14" customWidth="1"/>
  </cols>
  <sheetData>
    <row r="1" spans="2:13" ht="8" customHeight="1" x14ac:dyDescent="0.2"/>
    <row r="2" spans="2:13" ht="28" customHeight="1" x14ac:dyDescent="0.2">
      <c r="B2" s="70" t="s">
        <v>98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4" spans="2:13" ht="24" customHeight="1" x14ac:dyDescent="0.2">
      <c r="B4" s="14" t="s">
        <v>73</v>
      </c>
      <c r="C4" s="15" t="s">
        <v>99</v>
      </c>
      <c r="D4" s="15" t="s">
        <v>100</v>
      </c>
      <c r="E4" s="15" t="s">
        <v>101</v>
      </c>
      <c r="F4" s="15" t="s">
        <v>102</v>
      </c>
      <c r="G4" s="15" t="s">
        <v>103</v>
      </c>
      <c r="H4" s="15" t="s">
        <v>104</v>
      </c>
      <c r="I4" s="15" t="s">
        <v>105</v>
      </c>
      <c r="J4" s="15" t="s">
        <v>106</v>
      </c>
      <c r="K4" s="15" t="s">
        <v>107</v>
      </c>
      <c r="L4" s="15" t="s">
        <v>108</v>
      </c>
      <c r="M4" s="14" t="s">
        <v>109</v>
      </c>
    </row>
    <row r="5" spans="2:13" ht="20" customHeight="1" x14ac:dyDescent="0.2">
      <c r="B5" s="71" t="s">
        <v>110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2:13" ht="20" customHeight="1" x14ac:dyDescent="0.2">
      <c r="B6" s="28" t="s">
        <v>111</v>
      </c>
      <c r="C6" s="29">
        <f>'📊 Supuestos'!$C$5</f>
        <v>151200000</v>
      </c>
      <c r="D6" s="30">
        <f>C6*(1+'📊 Supuestos'!$C$30)</f>
        <v>157248000</v>
      </c>
      <c r="E6" s="30">
        <f>D6*(1+'📊 Supuestos'!$C$30)</f>
        <v>163537920</v>
      </c>
      <c r="F6" s="30">
        <f>E6*(1+'📊 Supuestos'!$C$30)</f>
        <v>170079436.80000001</v>
      </c>
      <c r="G6" s="30">
        <f>F6*(1+'📊 Supuestos'!$C$30)</f>
        <v>176882614.27200001</v>
      </c>
      <c r="H6" s="30">
        <f>G6*(1+'📊 Supuestos'!$C$30)</f>
        <v>183957918.84288001</v>
      </c>
      <c r="I6" s="30">
        <f>H6*(1+'📊 Supuestos'!$C$30)</f>
        <v>191316235.59659523</v>
      </c>
      <c r="J6" s="30">
        <f>I6*(1+'📊 Supuestos'!$C$30)</f>
        <v>198968885.02045906</v>
      </c>
      <c r="K6" s="30">
        <f>J6*(1+'📊 Supuestos'!$C$30)</f>
        <v>206927640.42127743</v>
      </c>
      <c r="L6" s="30">
        <f>K6*(1+'📊 Supuestos'!$C$30)</f>
        <v>215204746.03812853</v>
      </c>
      <c r="M6" s="31">
        <f>L6</f>
        <v>215204746.03812853</v>
      </c>
    </row>
    <row r="7" spans="2:13" ht="20" customHeight="1" x14ac:dyDescent="0.2">
      <c r="B7" s="32" t="s">
        <v>112</v>
      </c>
      <c r="C7" s="33">
        <f>'📊 Supuestos'!$C$40*(1-(1-(1+'📊 Supuestos'!$C$13/12)^(-('📊 Supuestos'!$C$14*12-12)))/(1-(1+'📊 Supuestos'!$C$13/12)^(-'📊 Supuestos'!$C$14*12)))</f>
        <v>2422716.2736191987</v>
      </c>
      <c r="D7" s="34">
        <f>C7*(1+'📊 Supuestos'!$C$13/12)^12-'📊 Supuestos'!$C$41*12*(((1+'📊 Supuestos'!$C$13/12)^12-1)/('📊 Supuestos'!$C$13/12))</f>
        <v>-103825048.00588192</v>
      </c>
      <c r="E7" s="34">
        <f>D7*(1+'📊 Supuestos'!$C$13/12)^12-'📊 Supuestos'!$C$41*12*(((1+'📊 Supuestos'!$C$13/12)^12-1)/('📊 Supuestos'!$C$13/12))</f>
        <v>-215731293.08981842</v>
      </c>
      <c r="F7" s="34">
        <f>E7*(1+'📊 Supuestos'!$C$13/12)^12-'📊 Supuestos'!$C$41*12*(((1+'📊 Supuestos'!$C$13/12)^12-1)/('📊 Supuestos'!$C$13/12))</f>
        <v>-333597375.01359761</v>
      </c>
      <c r="G7" s="34">
        <f>F7*(1+'📊 Supuestos'!$C$13/12)^12-'📊 Supuestos'!$C$41*12*(((1+'📊 Supuestos'!$C$13/12)^12-1)/('📊 Supuestos'!$C$13/12))</f>
        <v>-457740699.25473249</v>
      </c>
      <c r="H7" s="34">
        <f>G7*(1+'📊 Supuestos'!$C$13/12)^12-'📊 Supuestos'!$C$41*12*(((1+'📊 Supuestos'!$C$13/12)^12-1)/('📊 Supuestos'!$C$13/12))</f>
        <v>-588495575.48456919</v>
      </c>
      <c r="I7" s="34">
        <f>H7*(1+'📊 Supuestos'!$C$13/12)^12-'📊 Supuestos'!$C$41*12*(((1+'📊 Supuestos'!$C$13/12)^12-1)/('📊 Supuestos'!$C$13/12))</f>
        <v>-726214117.84187841</v>
      </c>
      <c r="J7" s="34">
        <f>I7*(1+'📊 Supuestos'!$C$13/12)^12-'📊 Supuestos'!$C$41*12*(((1+'📊 Supuestos'!$C$13/12)^12-1)/('📊 Supuestos'!$C$13/12))</f>
        <v>-871267193.15268731</v>
      </c>
      <c r="K7" s="34">
        <f>J7*(1+'📊 Supuestos'!$C$13/12)^12-'📊 Supuestos'!$C$41*12*(((1+'📊 Supuestos'!$C$13/12)^12-1)/('📊 Supuestos'!$C$13/12))</f>
        <v>-1024045419.6498435</v>
      </c>
      <c r="L7" s="34">
        <f>K7*(1+'📊 Supuestos'!$C$13/12)^12-'📊 Supuestos'!$C$41*12*(((1+'📊 Supuestos'!$C$13/12)^12-1)/('📊 Supuestos'!$C$13/12))</f>
        <v>-1184960218.8817976</v>
      </c>
      <c r="M7" s="31">
        <f>L7</f>
        <v>-1184960218.8817976</v>
      </c>
    </row>
    <row r="8" spans="2:13" ht="20" customHeight="1" x14ac:dyDescent="0.2">
      <c r="B8" s="35" t="s">
        <v>113</v>
      </c>
      <c r="C8" s="36">
        <f t="shared" ref="C8:L8" si="0">C6-C7</f>
        <v>148777283.7263808</v>
      </c>
      <c r="D8" s="36">
        <f t="shared" si="0"/>
        <v>261073048.00588191</v>
      </c>
      <c r="E8" s="36">
        <f t="shared" si="0"/>
        <v>379269213.08981842</v>
      </c>
      <c r="F8" s="36">
        <f t="shared" si="0"/>
        <v>503676811.81359762</v>
      </c>
      <c r="G8" s="36">
        <f t="shared" si="0"/>
        <v>634623313.52673244</v>
      </c>
      <c r="H8" s="36">
        <f t="shared" si="0"/>
        <v>772453494.3274492</v>
      </c>
      <c r="I8" s="36">
        <f t="shared" si="0"/>
        <v>917530353.4384737</v>
      </c>
      <c r="J8" s="36">
        <f t="shared" si="0"/>
        <v>1070236078.1731464</v>
      </c>
      <c r="K8" s="36">
        <f t="shared" si="0"/>
        <v>1230973060.071121</v>
      </c>
      <c r="L8" s="36">
        <f t="shared" si="0"/>
        <v>1400164964.9199262</v>
      </c>
      <c r="M8" s="31">
        <f>L8</f>
        <v>1400164964.9199262</v>
      </c>
    </row>
    <row r="9" spans="2:13" ht="20" customHeight="1" x14ac:dyDescent="0.2">
      <c r="B9" s="71" t="s">
        <v>114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3" ht="20" customHeight="1" x14ac:dyDescent="0.2">
      <c r="B10" s="37" t="s">
        <v>115</v>
      </c>
      <c r="C10" s="38">
        <f>'📊 Supuestos'!$C$18*(1-'📊 Supuestos'!$C$19)*12</f>
        <v>4788000</v>
      </c>
      <c r="D10" s="39">
        <f>C10*(1+'📊 Supuestos'!$C$20)</f>
        <v>4955580</v>
      </c>
      <c r="E10" s="39">
        <f>D10*(1+'📊 Supuestos'!$C$20)</f>
        <v>5129025.3</v>
      </c>
      <c r="F10" s="39">
        <f>E10*(1+'📊 Supuestos'!$C$20)</f>
        <v>5308541.1854999997</v>
      </c>
      <c r="G10" s="39">
        <f>F10*(1+'📊 Supuestos'!$C$20)</f>
        <v>5494340.1269924995</v>
      </c>
      <c r="H10" s="39">
        <f>G10*(1+'📊 Supuestos'!$C$20)</f>
        <v>5686642.0314372368</v>
      </c>
      <c r="I10" s="39">
        <f>H10*(1+'📊 Supuestos'!$C$20)</f>
        <v>5885674.5025375392</v>
      </c>
      <c r="J10" s="39">
        <f>I10*(1+'📊 Supuestos'!$C$20)</f>
        <v>6091673.1101263529</v>
      </c>
      <c r="K10" s="39">
        <f>J10*(1+'📊 Supuestos'!$C$20)</f>
        <v>6304881.6689807745</v>
      </c>
      <c r="L10" s="39">
        <f>K10*(1+'📊 Supuestos'!$C$20)</f>
        <v>6525552.5273951013</v>
      </c>
      <c r="M10" s="31">
        <f>SUM(C10:L10)</f>
        <v>56169910.452969506</v>
      </c>
    </row>
    <row r="11" spans="2:13" ht="20" customHeight="1" x14ac:dyDescent="0.2">
      <c r="B11" s="32" t="s">
        <v>116</v>
      </c>
      <c r="C11" s="33">
        <f>('📊 Supuestos'!$C$41+'📊 Supuestos'!$C$23+'📊 Supuestos'!$C$24+'📊 Supuestos'!$C$26+'📊 Supuestos'!$C$27+'📊 Supuestos'!$C$5*'📊 Supuestos'!$C$25/12)*12</f>
        <v>10587435.801060857</v>
      </c>
      <c r="D11" s="34">
        <f>C11*(1+'📊 Supuestos'!$C$15)</f>
        <v>10957996.054097986</v>
      </c>
      <c r="E11" s="34">
        <f>D11*(1+'📊 Supuestos'!$C$15)</f>
        <v>11341525.915991414</v>
      </c>
      <c r="F11" s="34">
        <f>E11*(1+'📊 Supuestos'!$C$15)</f>
        <v>11738479.323051114</v>
      </c>
      <c r="G11" s="34">
        <f>F11*(1+'📊 Supuestos'!$C$15)</f>
        <v>12149326.099357901</v>
      </c>
      <c r="H11" s="34">
        <f>G11*(1+'📊 Supuestos'!$C$15)</f>
        <v>12574552.512835426</v>
      </c>
      <c r="I11" s="34">
        <f>H11*(1+'📊 Supuestos'!$C$15)</f>
        <v>13014661.850784665</v>
      </c>
      <c r="J11" s="34">
        <f>I11*(1+'📊 Supuestos'!$C$15)</f>
        <v>13470175.015562126</v>
      </c>
      <c r="K11" s="34">
        <f>J11*(1+'📊 Supuestos'!$C$15)</f>
        <v>13941631.141106799</v>
      </c>
      <c r="L11" s="34">
        <f>K11*(1+'📊 Supuestos'!$C$15)</f>
        <v>14429588.231045537</v>
      </c>
      <c r="M11" s="31">
        <f>SUM(C11:L11)</f>
        <v>124205371.94489384</v>
      </c>
    </row>
    <row r="12" spans="2:13" ht="20" customHeight="1" x14ac:dyDescent="0.2">
      <c r="B12" s="35" t="s">
        <v>117</v>
      </c>
      <c r="C12" s="40">
        <f t="shared" ref="C12:L12" si="1">C10-C11</f>
        <v>-5799435.8010608573</v>
      </c>
      <c r="D12" s="40">
        <f t="shared" si="1"/>
        <v>-6002416.0540979858</v>
      </c>
      <c r="E12" s="40">
        <f t="shared" si="1"/>
        <v>-6212500.6159914145</v>
      </c>
      <c r="F12" s="40">
        <f t="shared" si="1"/>
        <v>-6429938.137551114</v>
      </c>
      <c r="G12" s="40">
        <f t="shared" si="1"/>
        <v>-6654985.9723654017</v>
      </c>
      <c r="H12" s="40">
        <f t="shared" si="1"/>
        <v>-6887910.4813981894</v>
      </c>
      <c r="I12" s="40">
        <f t="shared" si="1"/>
        <v>-7128987.3482471257</v>
      </c>
      <c r="J12" s="40">
        <f t="shared" si="1"/>
        <v>-7378501.9054357735</v>
      </c>
      <c r="K12" s="40">
        <f t="shared" si="1"/>
        <v>-7636749.4721260248</v>
      </c>
      <c r="L12" s="40">
        <f t="shared" si="1"/>
        <v>-7904035.7036504354</v>
      </c>
      <c r="M12" s="41">
        <f>SUM(C12:L12)</f>
        <v>-68035461.491924316</v>
      </c>
    </row>
    <row r="13" spans="2:13" ht="20" customHeight="1" x14ac:dyDescent="0.2">
      <c r="B13" s="71" t="s">
        <v>118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2:13" ht="20" customHeight="1" x14ac:dyDescent="0.2">
      <c r="B14" s="37" t="s">
        <v>119</v>
      </c>
      <c r="C14" s="42">
        <f t="shared" ref="C14:L14" si="2">C10/C6</f>
        <v>3.1666666666666669E-2</v>
      </c>
      <c r="D14" s="43">
        <f t="shared" si="2"/>
        <v>3.1514423076923079E-2</v>
      </c>
      <c r="E14" s="43">
        <f t="shared" si="2"/>
        <v>3.1362911427514795E-2</v>
      </c>
      <c r="F14" s="43">
        <f t="shared" si="2"/>
        <v>3.1212128199497889E-2</v>
      </c>
      <c r="G14" s="43">
        <f t="shared" si="2"/>
        <v>3.1062069890846457E-2</v>
      </c>
      <c r="H14" s="43">
        <f t="shared" si="2"/>
        <v>3.0912733016371235E-2</v>
      </c>
      <c r="I14" s="43">
        <f t="shared" si="2"/>
        <v>3.0764114107638671E-2</v>
      </c>
      <c r="J14" s="43">
        <f t="shared" si="2"/>
        <v>3.0616209712890405E-2</v>
      </c>
      <c r="K14" s="43">
        <f t="shared" si="2"/>
        <v>3.046901639696304E-2</v>
      </c>
      <c r="L14" s="43">
        <f t="shared" si="2"/>
        <v>3.0322530741208411E-2</v>
      </c>
      <c r="M14" s="44">
        <f>AVERAGE(C14:L14)</f>
        <v>3.0990280323652065E-2</v>
      </c>
    </row>
    <row r="15" spans="2:13" ht="20" customHeight="1" x14ac:dyDescent="0.2">
      <c r="B15" s="45" t="s">
        <v>120</v>
      </c>
      <c r="C15" s="46">
        <f>C6-'📊 Supuestos'!$C$5</f>
        <v>0</v>
      </c>
      <c r="D15" s="46">
        <f>D6-'📊 Supuestos'!$C$5</f>
        <v>6048000</v>
      </c>
      <c r="E15" s="46">
        <f>E6-'📊 Supuestos'!$C$5</f>
        <v>12337920</v>
      </c>
      <c r="F15" s="46">
        <f>F6-'📊 Supuestos'!$C$5</f>
        <v>18879436.800000012</v>
      </c>
      <c r="G15" s="46">
        <f>G6-'📊 Supuestos'!$C$5</f>
        <v>25682614.272000015</v>
      </c>
      <c r="H15" s="46">
        <f>H6-'📊 Supuestos'!$C$5</f>
        <v>32757918.842880011</v>
      </c>
      <c r="I15" s="46">
        <f>I6-'📊 Supuestos'!$C$5</f>
        <v>40116235.596595228</v>
      </c>
      <c r="J15" s="46">
        <f>J6-'📊 Supuestos'!$C$5</f>
        <v>47768885.020459056</v>
      </c>
      <c r="K15" s="46">
        <f>K6-'📊 Supuestos'!$C$5</f>
        <v>55727640.421277434</v>
      </c>
      <c r="L15" s="46">
        <f>L6-'📊 Supuestos'!$C$5</f>
        <v>64004746.038128525</v>
      </c>
      <c r="M15" s="31">
        <f>L15</f>
        <v>64004746.038128525</v>
      </c>
    </row>
    <row r="16" spans="2:13" ht="20" customHeight="1" x14ac:dyDescent="0.2">
      <c r="B16" s="37" t="s">
        <v>121</v>
      </c>
      <c r="C16" s="42">
        <f>IFERROR((C8-'📊 Supuestos'!$C$39)/'📊 Supuestos'!$C$39,0)</f>
        <v>3.5234808065181147</v>
      </c>
      <c r="D16" s="43">
        <f>IFERROR((D8-'📊 Supuestos'!$C$39)/'📊 Supuestos'!$C$39,0)</f>
        <v>6.9377636973512287</v>
      </c>
      <c r="E16" s="43">
        <f>IFERROR((E8-'📊 Supuestos'!$C$39)/'📊 Supuestos'!$C$39,0)</f>
        <v>10.531444605953737</v>
      </c>
      <c r="F16" s="43">
        <f>IFERROR((F8-'📊 Supuestos'!$C$39)/'📊 Supuestos'!$C$39,0)</f>
        <v>14.313980292295458</v>
      </c>
      <c r="G16" s="43">
        <f>IFERROR((G8-'📊 Supuestos'!$C$39)/'📊 Supuestos'!$C$39,0)</f>
        <v>18.295327258337867</v>
      </c>
      <c r="H16" s="43">
        <f>IFERROR((H8-'📊 Supuestos'!$C$39)/'📊 Supuestos'!$C$39,0)</f>
        <v>22.48596820697626</v>
      </c>
      <c r="I16" s="43">
        <f>IFERROR((I8-'📊 Supuestos'!$C$39)/'📊 Supuestos'!$C$39,0)</f>
        <v>26.896939903875758</v>
      </c>
      <c r="J16" s="43">
        <f>IFERROR((J8-'📊 Supuestos'!$C$39)/'📊 Supuestos'!$C$39,0)</f>
        <v>31.539862516666048</v>
      </c>
      <c r="K16" s="43">
        <f>IFERROR((K8-'📊 Supuestos'!$C$39)/'📊 Supuestos'!$C$39,0)</f>
        <v>36.426970509915506</v>
      </c>
      <c r="L16" s="43">
        <f>IFERROR((L8-'📊 Supuestos'!$C$39)/'📊 Supuestos'!$C$39,0)</f>
        <v>41.571145178471454</v>
      </c>
      <c r="M16" s="44">
        <f>L16</f>
        <v>41.571145178471454</v>
      </c>
    </row>
  </sheetData>
  <mergeCells count="4">
    <mergeCell ref="B5:M5"/>
    <mergeCell ref="B2:M2"/>
    <mergeCell ref="B9:M9"/>
    <mergeCell ref="B13:M1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22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3" width="18" customWidth="1"/>
    <col min="4" max="4" width="16" customWidth="1"/>
    <col min="5" max="6" width="12" customWidth="1"/>
    <col min="7" max="7" width="18" customWidth="1"/>
    <col min="8" max="8" width="14" customWidth="1"/>
    <col min="9" max="9" width="16" customWidth="1"/>
  </cols>
  <sheetData>
    <row r="2" spans="2:9" ht="28" customHeight="1" x14ac:dyDescent="0.2">
      <c r="B2" s="67" t="s">
        <v>122</v>
      </c>
      <c r="C2" s="61"/>
      <c r="D2" s="61"/>
      <c r="E2" s="61"/>
      <c r="F2" s="61"/>
      <c r="G2" s="61"/>
      <c r="H2" s="61"/>
      <c r="I2" s="61"/>
    </row>
    <row r="3" spans="2:9" ht="30" customHeight="1" x14ac:dyDescent="0.2">
      <c r="B3" s="72" t="s">
        <v>123</v>
      </c>
      <c r="C3" s="61"/>
      <c r="D3" s="61"/>
      <c r="E3" s="61"/>
      <c r="F3" s="61"/>
      <c r="G3" s="61"/>
      <c r="H3" s="61"/>
      <c r="I3" s="61"/>
    </row>
    <row r="4" spans="2:9" ht="36" customHeight="1" x14ac:dyDescent="0.2">
      <c r="B4" s="14" t="s">
        <v>124</v>
      </c>
      <c r="C4" s="15" t="s">
        <v>125</v>
      </c>
      <c r="D4" s="15" t="s">
        <v>126</v>
      </c>
      <c r="E4" s="15" t="s">
        <v>127</v>
      </c>
      <c r="F4" s="15" t="s">
        <v>128</v>
      </c>
      <c r="G4" s="15" t="s">
        <v>129</v>
      </c>
      <c r="H4" s="15" t="s">
        <v>130</v>
      </c>
      <c r="I4" s="15" t="s">
        <v>131</v>
      </c>
    </row>
    <row r="5" spans="2:9" ht="32" customHeight="1" x14ac:dyDescent="0.2">
      <c r="B5" s="48" t="s">
        <v>132</v>
      </c>
      <c r="C5" s="56" t="s">
        <v>133</v>
      </c>
      <c r="D5" s="57">
        <v>550000</v>
      </c>
      <c r="E5" s="49" t="s">
        <v>134</v>
      </c>
      <c r="F5" s="49" t="s">
        <v>135</v>
      </c>
      <c r="G5" s="49" t="s">
        <v>136</v>
      </c>
      <c r="H5" s="49" t="s">
        <v>137</v>
      </c>
      <c r="I5" s="49" t="s">
        <v>138</v>
      </c>
    </row>
    <row r="6" spans="2:9" ht="32" customHeight="1" x14ac:dyDescent="0.2">
      <c r="B6" s="48" t="s">
        <v>139</v>
      </c>
      <c r="C6" s="56" t="s">
        <v>140</v>
      </c>
      <c r="D6" s="57">
        <v>420000</v>
      </c>
      <c r="E6" s="49" t="s">
        <v>141</v>
      </c>
      <c r="F6" s="49" t="s">
        <v>137</v>
      </c>
      <c r="G6" s="49" t="s">
        <v>142</v>
      </c>
      <c r="H6" s="49" t="s">
        <v>143</v>
      </c>
      <c r="I6" s="49" t="s">
        <v>138</v>
      </c>
    </row>
    <row r="7" spans="2:9" ht="32" customHeight="1" x14ac:dyDescent="0.2">
      <c r="B7" s="48" t="s">
        <v>144</v>
      </c>
      <c r="C7" s="56" t="s">
        <v>145</v>
      </c>
      <c r="D7" s="57">
        <v>420000</v>
      </c>
      <c r="E7" s="49" t="s">
        <v>146</v>
      </c>
      <c r="F7" s="49" t="s">
        <v>137</v>
      </c>
      <c r="G7" s="49" t="s">
        <v>147</v>
      </c>
      <c r="H7" s="49" t="s">
        <v>148</v>
      </c>
      <c r="I7" s="49" t="s">
        <v>138</v>
      </c>
    </row>
    <row r="8" spans="2:9" ht="32" customHeight="1" x14ac:dyDescent="0.2">
      <c r="B8" s="48" t="s">
        <v>149</v>
      </c>
      <c r="C8" s="56" t="s">
        <v>150</v>
      </c>
      <c r="D8" s="57">
        <v>395000</v>
      </c>
      <c r="E8" s="49" t="s">
        <v>146</v>
      </c>
      <c r="F8" s="49" t="s">
        <v>135</v>
      </c>
      <c r="G8" s="49" t="s">
        <v>151</v>
      </c>
      <c r="H8" s="49" t="s">
        <v>137</v>
      </c>
      <c r="I8" s="49" t="s">
        <v>138</v>
      </c>
    </row>
    <row r="9" spans="2:9" ht="32" customHeight="1" x14ac:dyDescent="0.2">
      <c r="B9" s="48" t="s">
        <v>152</v>
      </c>
      <c r="C9" s="56" t="s">
        <v>153</v>
      </c>
      <c r="D9" s="57">
        <v>480000</v>
      </c>
      <c r="E9" s="49" t="s">
        <v>154</v>
      </c>
      <c r="F9" s="49" t="s">
        <v>137</v>
      </c>
      <c r="G9" s="49" t="s">
        <v>155</v>
      </c>
      <c r="H9" s="49" t="s">
        <v>137</v>
      </c>
      <c r="I9" s="49" t="s">
        <v>138</v>
      </c>
    </row>
    <row r="10" spans="2:9" ht="32" customHeight="1" x14ac:dyDescent="0.2">
      <c r="B10" s="50" t="s">
        <v>156</v>
      </c>
      <c r="C10" s="58" t="s">
        <v>157</v>
      </c>
      <c r="D10" s="59">
        <v>360000</v>
      </c>
      <c r="E10" s="51" t="s">
        <v>158</v>
      </c>
      <c r="F10" s="51" t="s">
        <v>137</v>
      </c>
      <c r="G10" s="51" t="s">
        <v>159</v>
      </c>
      <c r="H10" s="51" t="s">
        <v>143</v>
      </c>
      <c r="I10" s="51" t="s">
        <v>160</v>
      </c>
    </row>
    <row r="11" spans="2:9" ht="32" customHeight="1" x14ac:dyDescent="0.2">
      <c r="B11" s="48" t="s">
        <v>161</v>
      </c>
      <c r="C11" s="56" t="s">
        <v>162</v>
      </c>
      <c r="D11" s="57">
        <v>400000</v>
      </c>
      <c r="E11" s="49" t="s">
        <v>141</v>
      </c>
      <c r="F11" s="49" t="s">
        <v>137</v>
      </c>
      <c r="G11" s="49" t="s">
        <v>163</v>
      </c>
      <c r="H11" s="49" t="s">
        <v>148</v>
      </c>
      <c r="I11" s="49" t="s">
        <v>138</v>
      </c>
    </row>
    <row r="12" spans="2:9" ht="32" customHeight="1" x14ac:dyDescent="0.2">
      <c r="B12" s="50" t="s">
        <v>164</v>
      </c>
      <c r="C12" s="58" t="s">
        <v>165</v>
      </c>
      <c r="D12" s="59">
        <v>370000</v>
      </c>
      <c r="E12" s="51" t="s">
        <v>166</v>
      </c>
      <c r="F12" s="51" t="s">
        <v>143</v>
      </c>
      <c r="G12" s="51" t="s">
        <v>167</v>
      </c>
      <c r="H12" s="51" t="s">
        <v>143</v>
      </c>
      <c r="I12" s="51" t="s">
        <v>160</v>
      </c>
    </row>
    <row r="13" spans="2:9" ht="32" customHeight="1" x14ac:dyDescent="0.2">
      <c r="B13" s="50" t="s">
        <v>168</v>
      </c>
      <c r="C13" s="58" t="s">
        <v>169</v>
      </c>
      <c r="D13" s="59">
        <v>850000</v>
      </c>
      <c r="E13" s="51" t="s">
        <v>170</v>
      </c>
      <c r="F13" s="51" t="s">
        <v>137</v>
      </c>
      <c r="G13" s="51" t="s">
        <v>171</v>
      </c>
      <c r="H13" s="51" t="s">
        <v>135</v>
      </c>
      <c r="I13" s="51" t="s">
        <v>160</v>
      </c>
    </row>
    <row r="14" spans="2:9" ht="32" customHeight="1" x14ac:dyDescent="0.2">
      <c r="B14" s="50" t="s">
        <v>172</v>
      </c>
      <c r="C14" s="58" t="s">
        <v>173</v>
      </c>
      <c r="D14" s="59">
        <v>1100000</v>
      </c>
      <c r="E14" s="51" t="s">
        <v>174</v>
      </c>
      <c r="F14" s="51" t="s">
        <v>143</v>
      </c>
      <c r="G14" s="51" t="s">
        <v>175</v>
      </c>
      <c r="H14" s="51" t="s">
        <v>135</v>
      </c>
      <c r="I14" s="51" t="s">
        <v>176</v>
      </c>
    </row>
    <row r="15" spans="2:9" ht="32" customHeight="1" x14ac:dyDescent="0.2">
      <c r="B15" s="48" t="s">
        <v>177</v>
      </c>
      <c r="C15" s="56" t="s">
        <v>178</v>
      </c>
      <c r="D15" s="57">
        <v>380000</v>
      </c>
      <c r="E15" s="49" t="s">
        <v>146</v>
      </c>
      <c r="F15" s="49" t="s">
        <v>137</v>
      </c>
      <c r="G15" s="49" t="s">
        <v>179</v>
      </c>
      <c r="H15" s="49" t="s">
        <v>137</v>
      </c>
      <c r="I15" s="49" t="s">
        <v>138</v>
      </c>
    </row>
    <row r="16" spans="2:9" ht="32" customHeight="1" x14ac:dyDescent="0.2">
      <c r="B16" s="50" t="s">
        <v>180</v>
      </c>
      <c r="C16" s="58" t="s">
        <v>181</v>
      </c>
      <c r="D16" s="59">
        <v>380000</v>
      </c>
      <c r="E16" s="51" t="s">
        <v>182</v>
      </c>
      <c r="F16" s="51" t="s">
        <v>143</v>
      </c>
      <c r="G16" s="51" t="s">
        <v>183</v>
      </c>
      <c r="H16" s="51" t="s">
        <v>148</v>
      </c>
      <c r="I16" s="51" t="s">
        <v>160</v>
      </c>
    </row>
    <row r="17" spans="2:9" ht="32" customHeight="1" x14ac:dyDescent="0.2">
      <c r="B17" s="50" t="s">
        <v>184</v>
      </c>
      <c r="C17" s="58" t="s">
        <v>145</v>
      </c>
      <c r="D17" s="59">
        <v>380000</v>
      </c>
      <c r="E17" s="51" t="s">
        <v>141</v>
      </c>
      <c r="F17" s="51" t="s">
        <v>137</v>
      </c>
      <c r="G17" s="51" t="s">
        <v>163</v>
      </c>
      <c r="H17" s="51" t="s">
        <v>143</v>
      </c>
      <c r="I17" s="51" t="s">
        <v>160</v>
      </c>
    </row>
    <row r="18" spans="2:9" ht="32" customHeight="1" x14ac:dyDescent="0.2">
      <c r="B18" s="50" t="s">
        <v>185</v>
      </c>
      <c r="C18" s="58" t="s">
        <v>186</v>
      </c>
      <c r="D18" s="59">
        <v>310000</v>
      </c>
      <c r="E18" s="51" t="s">
        <v>146</v>
      </c>
      <c r="F18" s="51" t="s">
        <v>143</v>
      </c>
      <c r="G18" s="51" t="s">
        <v>183</v>
      </c>
      <c r="H18" s="51" t="s">
        <v>187</v>
      </c>
      <c r="I18" s="51" t="s">
        <v>176</v>
      </c>
    </row>
    <row r="19" spans="2:9" ht="32" customHeight="1" x14ac:dyDescent="0.2">
      <c r="B19" s="50" t="s">
        <v>188</v>
      </c>
      <c r="C19" s="58" t="s">
        <v>189</v>
      </c>
      <c r="D19" s="59">
        <v>280000</v>
      </c>
      <c r="E19" s="51" t="s">
        <v>182</v>
      </c>
      <c r="F19" s="51" t="s">
        <v>143</v>
      </c>
      <c r="G19" s="51" t="s">
        <v>190</v>
      </c>
      <c r="H19" s="51" t="s">
        <v>191</v>
      </c>
      <c r="I19" s="51" t="s">
        <v>176</v>
      </c>
    </row>
    <row r="21" spans="2:9" ht="14" customHeight="1" x14ac:dyDescent="0.2">
      <c r="B21" s="47" t="s">
        <v>192</v>
      </c>
    </row>
    <row r="22" spans="2:9" ht="36" customHeight="1" x14ac:dyDescent="0.2">
      <c r="B22" s="73" t="s">
        <v>193</v>
      </c>
      <c r="C22" s="61"/>
      <c r="D22" s="61"/>
      <c r="E22" s="61"/>
      <c r="F22" s="61"/>
      <c r="G22" s="61"/>
      <c r="H22" s="61"/>
      <c r="I22" s="61"/>
    </row>
  </sheetData>
  <mergeCells count="3">
    <mergeCell ref="B3:I3"/>
    <mergeCell ref="B22:I22"/>
    <mergeCell ref="B2:I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9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38" customWidth="1"/>
    <col min="3" max="4" width="22" customWidth="1"/>
    <col min="5" max="5" width="3" customWidth="1"/>
  </cols>
  <sheetData>
    <row r="1" spans="2:4" ht="8" customHeight="1" x14ac:dyDescent="0.2"/>
    <row r="2" spans="2:4" ht="28" customHeight="1" x14ac:dyDescent="0.2">
      <c r="B2" s="70" t="s">
        <v>194</v>
      </c>
      <c r="C2" s="61"/>
      <c r="D2" s="61"/>
    </row>
    <row r="3" spans="2:4" ht="8" customHeight="1" x14ac:dyDescent="0.2"/>
    <row r="4" spans="2:4" x14ac:dyDescent="0.2">
      <c r="B4" s="67" t="s">
        <v>118</v>
      </c>
      <c r="C4" s="61"/>
      <c r="D4" s="61"/>
    </row>
    <row r="5" spans="2:4" ht="24" customHeight="1" x14ac:dyDescent="0.2">
      <c r="B5" s="3" t="s">
        <v>69</v>
      </c>
      <c r="C5" s="52">
        <f>'📊 Supuestos'!C43</f>
        <v>3.3333333333333333E-2</v>
      </c>
      <c r="D5" s="53" t="str">
        <f>IF(C5&lt;=0.04,"🔴 Riesgo",IF(C5&lt;=0.05,"🟡 Atención","🟢 Óptimo"))</f>
        <v>🔴 Riesgo</v>
      </c>
    </row>
    <row r="6" spans="2:4" ht="24" customHeight="1" x14ac:dyDescent="0.2">
      <c r="B6" s="3" t="s">
        <v>195</v>
      </c>
      <c r="C6" s="54">
        <f>'📊 Supuestos'!C44</f>
        <v>-483286.3167550714</v>
      </c>
      <c r="D6" s="53" t="str">
        <f>IF(C6&lt;=-100000,"🔴 Riesgo",IF(C6&lt;=0,"🟡 Atención","🟢 Óptimo"))</f>
        <v>🔴 Riesgo</v>
      </c>
    </row>
    <row r="7" spans="2:4" ht="24" customHeight="1" x14ac:dyDescent="0.2">
      <c r="B7" s="3" t="s">
        <v>196</v>
      </c>
      <c r="C7" s="52">
        <f>'📊 Supuestos'!C45</f>
        <v>0.31117368455538263</v>
      </c>
      <c r="D7" s="53" t="str">
        <f>IF(C7&gt;=0.3,"🔴 Riesgo",IF(C7&gt;=0.25,"🟡 Atención","🟢 Óptimo"))</f>
        <v>🔴 Riesgo</v>
      </c>
    </row>
    <row r="8" spans="2:4" ht="24" customHeight="1" x14ac:dyDescent="0.2">
      <c r="B8" s="3" t="s">
        <v>197</v>
      </c>
      <c r="C8" s="55">
        <f>'📊 Supuestos'!C42</f>
        <v>3150000</v>
      </c>
      <c r="D8" s="53" t="str">
        <f>IF(C8&gt;=2500000,"🔴 Riesgo",IF(C8&gt;=2000000,"🟡 Atención","🟢 Óptimo"))</f>
        <v>🔴 Riesgo</v>
      </c>
    </row>
    <row r="9" spans="2:4" ht="24" customHeight="1" x14ac:dyDescent="0.2">
      <c r="B9" s="3" t="s">
        <v>198</v>
      </c>
      <c r="C9" s="54">
        <f>'📊 Supuestos'!C39</f>
        <v>32890000</v>
      </c>
      <c r="D9" s="53" t="str">
        <f>IF(C9&gt;=60000000,"🔴 Riesgo",IF(C9&gt;=40000000,"🟡 Atención","🟢 Óptimo"))</f>
        <v>🟢 Óptimo</v>
      </c>
    </row>
    <row r="10" spans="2:4" ht="6" customHeight="1" x14ac:dyDescent="0.2"/>
    <row r="11" spans="2:4" x14ac:dyDescent="0.2">
      <c r="B11" s="66" t="s">
        <v>199</v>
      </c>
      <c r="C11" s="61"/>
      <c r="D11" s="61"/>
    </row>
    <row r="12" spans="2:4" ht="24" customHeight="1" x14ac:dyDescent="0.2">
      <c r="B12" s="3" t="s">
        <v>200</v>
      </c>
      <c r="C12" s="54">
        <f>'📈 Proyección 10 Años'!G8</f>
        <v>634623313.52673244</v>
      </c>
      <c r="D12" s="53" t="str">
        <f>IF(C12&lt;=30000000,"🔴 Riesgo",IF(C12&lt;=50000000,"🟡 Atención","🟢 Óptimo"))</f>
        <v>🟢 Óptimo</v>
      </c>
    </row>
    <row r="13" spans="2:4" ht="24" customHeight="1" x14ac:dyDescent="0.2">
      <c r="B13" s="3" t="s">
        <v>201</v>
      </c>
      <c r="C13" s="54">
        <f>'📈 Proyección 10 Años'!L8</f>
        <v>1400164964.9199262</v>
      </c>
      <c r="D13" s="53" t="str">
        <f>IF(C13&lt;=50000000,"🔴 Riesgo",IF(C13&lt;=80000000,"🟡 Atención","🟢 Óptimo"))</f>
        <v>🟢 Óptimo</v>
      </c>
    </row>
    <row r="14" spans="2:4" ht="24" customHeight="1" x14ac:dyDescent="0.2">
      <c r="B14" s="3" t="s">
        <v>202</v>
      </c>
      <c r="C14" s="52">
        <f>'📈 Proyección 10 Años'!L16</f>
        <v>41.571145178471454</v>
      </c>
      <c r="D14" s="53" t="str">
        <f>IF(C14&lt;=0.5,"🔴 Riesgo",IF(C14&lt;=1,"🟡 Atención","🟢 Óptimo"))</f>
        <v>🟢 Óptimo</v>
      </c>
    </row>
    <row r="15" spans="2:4" ht="6" customHeight="1" x14ac:dyDescent="0.2"/>
    <row r="16" spans="2:4" x14ac:dyDescent="0.2">
      <c r="B16" s="67" t="s">
        <v>203</v>
      </c>
      <c r="C16" s="61"/>
      <c r="D16" s="61"/>
    </row>
    <row r="17" spans="2:4" ht="40" customHeight="1" x14ac:dyDescent="0.2">
      <c r="B17" s="75" t="str">
        <f>IF(COUNTIF(D5:D14,"🔴 Riesgo")&gt;=3,"⛔ NO RECOMENDADA — revisa los supuestos",IF(COUNTIF(D5:D14,"🔴 Riesgo")&gt;=1,"⚠️ PRECAUCIÓN — hay factores de riesgo a resolver",IF(COUNTIF(D5:D14,"🟡 Atención")&gt;=3,"🟡 ACEPTABLE — dentro del rango normal del mercado","✅ EXCELENTE — esta propiedad cumple todos los criterios")))</f>
        <v>⛔ NO RECOMENDADA — revisa los supuestos</v>
      </c>
      <c r="C17" s="76"/>
      <c r="D17" s="77"/>
    </row>
    <row r="19" spans="2:4" ht="14" customHeight="1" x14ac:dyDescent="0.2">
      <c r="B19" s="74" t="s">
        <v>204</v>
      </c>
      <c r="C19" s="61"/>
      <c r="D19" s="61"/>
    </row>
  </sheetData>
  <mergeCells count="6">
    <mergeCell ref="B11:D11"/>
    <mergeCell ref="B19:D19"/>
    <mergeCell ref="B4:D4"/>
    <mergeCell ref="B17:D17"/>
    <mergeCell ref="B2:D2"/>
    <mergeCell ref="B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🏠 Portada</vt:lpstr>
      <vt:lpstr>📊 Supuestos</vt:lpstr>
      <vt:lpstr>💰 Flujo Mensual</vt:lpstr>
      <vt:lpstr>📈 Proyección 10 Años</vt:lpstr>
      <vt:lpstr>🗺️ Comunas Santiago</vt:lpstr>
      <vt:lpstr>📋 Resumen Ejecutivo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Andrés Cubillos</cp:lastModifiedBy>
  <dcterms:created xsi:type="dcterms:W3CDTF">2026-05-29T12:20:47Z</dcterms:created>
  <dcterms:modified xsi:type="dcterms:W3CDTF">2026-05-29T12:59:26Z</dcterms:modified>
</cp:coreProperties>
</file>